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4462D4C0-6505-4F37-9C2A-164EBEA9D44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M70" i="1" s="1"/>
  <c r="N70" i="1" s="1"/>
  <c r="L69" i="1"/>
  <c r="L70" i="1" s="1"/>
  <c r="H69" i="1"/>
  <c r="G69" i="1"/>
  <c r="G70" i="1" s="1"/>
  <c r="D69" i="1"/>
  <c r="C69" i="1"/>
  <c r="B69" i="1"/>
  <c r="N68" i="1"/>
  <c r="I68" i="1"/>
  <c r="D68" i="1"/>
  <c r="N67" i="1"/>
  <c r="I67" i="1"/>
  <c r="D67" i="1"/>
  <c r="N66" i="1"/>
  <c r="M66" i="1"/>
  <c r="L66" i="1"/>
  <c r="I66" i="1"/>
  <c r="H66" i="1"/>
  <c r="H70" i="1" s="1"/>
  <c r="G66" i="1"/>
  <c r="C66" i="1"/>
  <c r="D66" i="1" s="1"/>
  <c r="B66" i="1"/>
  <c r="B70" i="1" s="1"/>
  <c r="N65" i="1"/>
  <c r="I65" i="1"/>
  <c r="D65" i="1"/>
  <c r="N64" i="1"/>
  <c r="I64" i="1"/>
  <c r="D64" i="1"/>
  <c r="N63" i="1"/>
  <c r="I63" i="1"/>
  <c r="D63" i="1"/>
  <c r="N62" i="1"/>
  <c r="I62" i="1"/>
  <c r="D62" i="1"/>
  <c r="M55" i="1"/>
  <c r="L55" i="1"/>
  <c r="N55" i="1" s="1"/>
  <c r="I55" i="1"/>
  <c r="H55" i="1"/>
  <c r="G55" i="1"/>
  <c r="D55" i="1"/>
  <c r="C55" i="1"/>
  <c r="B55" i="1"/>
  <c r="N54" i="1"/>
  <c r="I54" i="1"/>
  <c r="D54" i="1"/>
  <c r="N53" i="1"/>
  <c r="I53" i="1"/>
  <c r="D53" i="1"/>
  <c r="N52" i="1"/>
  <c r="M52" i="1"/>
  <c r="M56" i="1" s="1"/>
  <c r="L52" i="1"/>
  <c r="I52" i="1"/>
  <c r="H52" i="1"/>
  <c r="H56" i="1" s="1"/>
  <c r="I56" i="1" s="1"/>
  <c r="G52" i="1"/>
  <c r="G56" i="1" s="1"/>
  <c r="C52" i="1"/>
  <c r="D52" i="1" s="1"/>
  <c r="B52" i="1"/>
  <c r="B56" i="1" s="1"/>
  <c r="N51" i="1"/>
  <c r="I51" i="1"/>
  <c r="D51" i="1"/>
  <c r="N50" i="1"/>
  <c r="I50" i="1"/>
  <c r="D50" i="1"/>
  <c r="N49" i="1"/>
  <c r="I49" i="1"/>
  <c r="D49" i="1"/>
  <c r="N48" i="1"/>
  <c r="I48" i="1"/>
  <c r="D48" i="1"/>
  <c r="Q42" i="1"/>
  <c r="P42" i="1"/>
  <c r="O42" i="1"/>
  <c r="N42" i="1"/>
  <c r="O41" i="1"/>
  <c r="L41" i="1"/>
  <c r="R41" i="1" s="1"/>
  <c r="K41" i="1"/>
  <c r="R40" i="1"/>
  <c r="S40" i="1" s="1"/>
  <c r="O40" i="1"/>
  <c r="L40" i="1"/>
  <c r="B39" i="1"/>
  <c r="R36" i="1"/>
  <c r="O36" i="1"/>
  <c r="L36" i="1"/>
  <c r="B35" i="1"/>
  <c r="B42" i="1" s="1"/>
  <c r="F28" i="1"/>
  <c r="D28" i="1"/>
  <c r="K25" i="1"/>
  <c r="M25" i="1" s="1"/>
  <c r="G24" i="1"/>
  <c r="E24" i="1"/>
  <c r="B24" i="1"/>
  <c r="F17" i="1"/>
  <c r="E17" i="1"/>
  <c r="K17" i="1" s="1"/>
  <c r="M17" i="1" s="1"/>
  <c r="J16" i="1"/>
  <c r="G16" i="1"/>
  <c r="D16" i="1"/>
  <c r="B16" i="1"/>
  <c r="K16" i="1" s="1"/>
  <c r="M16" i="1" s="1"/>
  <c r="J15" i="1"/>
  <c r="G15" i="1"/>
  <c r="F15" i="1"/>
  <c r="E15" i="1"/>
  <c r="D15" i="1"/>
  <c r="K15" i="1" s="1"/>
  <c r="M15" i="1" s="1"/>
  <c r="B15" i="1"/>
  <c r="E14" i="1"/>
  <c r="E13" i="1" s="1"/>
  <c r="D14" i="1"/>
  <c r="D13" i="1" s="1"/>
  <c r="C14" i="1"/>
  <c r="B13" i="1" s="1"/>
  <c r="L13" i="1"/>
  <c r="J13" i="1"/>
  <c r="I13" i="1"/>
  <c r="H13" i="1"/>
  <c r="G13" i="1"/>
  <c r="G18" i="1" s="1"/>
  <c r="F13" i="1"/>
  <c r="F18" i="1" s="1"/>
  <c r="F20" i="1" s="1"/>
  <c r="E12" i="1"/>
  <c r="E11" i="1" s="1"/>
  <c r="D12" i="1"/>
  <c r="B12" i="1"/>
  <c r="L11" i="1"/>
  <c r="L18" i="1" s="1"/>
  <c r="I11" i="1"/>
  <c r="I18" i="1" s="1"/>
  <c r="H11" i="1"/>
  <c r="H18" i="1" s="1"/>
  <c r="G11" i="1"/>
  <c r="F11" i="1"/>
  <c r="F19" i="1" s="1"/>
  <c r="D11" i="1"/>
  <c r="D18" i="1" s="1"/>
  <c r="D20" i="1" s="1"/>
  <c r="B11" i="1"/>
  <c r="K11" i="1" s="1"/>
  <c r="K10" i="1"/>
  <c r="K24" i="1" s="1"/>
  <c r="M9" i="1"/>
  <c r="K9" i="1"/>
  <c r="M24" i="1" l="1"/>
  <c r="R61" i="1" s="1"/>
  <c r="G22" i="1"/>
  <c r="G20" i="1"/>
  <c r="G23" i="1"/>
  <c r="J4" i="1"/>
  <c r="M11" i="1"/>
  <c r="B18" i="1"/>
  <c r="K13" i="1"/>
  <c r="M13" i="1" s="1"/>
  <c r="C19" i="1"/>
  <c r="E18" i="1"/>
  <c r="E19" i="1"/>
  <c r="E23" i="1" s="1"/>
  <c r="S41" i="1"/>
  <c r="I70" i="1"/>
  <c r="H19" i="1"/>
  <c r="C56" i="1"/>
  <c r="D56" i="1" s="1"/>
  <c r="C70" i="1"/>
  <c r="D70" i="1" s="1"/>
  <c r="L22" i="1"/>
  <c r="D19" i="1"/>
  <c r="I19" i="1"/>
  <c r="M10" i="1"/>
  <c r="J11" i="1"/>
  <c r="L56" i="1"/>
  <c r="N56" i="1" s="1"/>
  <c r="N69" i="1"/>
  <c r="I69" i="1"/>
  <c r="E27" i="1" l="1"/>
  <c r="E21" i="1"/>
  <c r="B20" i="1"/>
  <c r="D22" i="1"/>
  <c r="J19" i="1"/>
  <c r="J23" i="1" s="1"/>
  <c r="J18" i="1"/>
  <c r="K18" i="1" s="1"/>
  <c r="E20" i="1"/>
  <c r="F22" i="1"/>
  <c r="K19" i="1"/>
  <c r="M19" i="1" s="1"/>
  <c r="B23" i="1"/>
  <c r="G26" i="1"/>
  <c r="K26" i="1" s="1"/>
  <c r="G27" i="1"/>
  <c r="G43" i="1" s="1"/>
  <c r="L43" i="1" s="1"/>
  <c r="M26" i="1" l="1"/>
  <c r="B27" i="1"/>
  <c r="K23" i="1"/>
  <c r="B21" i="1"/>
  <c r="M18" i="1"/>
  <c r="R60" i="1" s="1"/>
  <c r="K20" i="1"/>
  <c r="M20" i="1" s="1"/>
  <c r="J37" i="1"/>
  <c r="J39" i="1" s="1"/>
  <c r="J32" i="1"/>
  <c r="K22" i="1"/>
  <c r="M22" i="1" s="1"/>
  <c r="J31" i="1"/>
  <c r="J27" i="1"/>
  <c r="J34" i="1"/>
  <c r="J38" i="1"/>
  <c r="J33" i="1"/>
  <c r="E38" i="1"/>
  <c r="K38" i="1" s="1"/>
  <c r="E37" i="1"/>
  <c r="E40" i="1" l="1"/>
  <c r="E39" i="1"/>
  <c r="K39" i="1" s="1"/>
  <c r="K37" i="1"/>
  <c r="S38" i="1"/>
  <c r="R71" i="1"/>
  <c r="L38" i="1"/>
  <c r="M23" i="1"/>
  <c r="K21" i="1"/>
  <c r="M21" i="1" s="1"/>
  <c r="J28" i="1"/>
  <c r="J35" i="1"/>
  <c r="J42" i="1" s="1"/>
  <c r="C33" i="1"/>
  <c r="K33" i="1" s="1"/>
  <c r="C32" i="1"/>
  <c r="K32" i="1" s="1"/>
  <c r="K27" i="1"/>
  <c r="K29" i="1" s="1"/>
  <c r="C34" i="1"/>
  <c r="K34" i="1" s="1"/>
  <c r="C31" i="1"/>
  <c r="S37" i="1" l="1"/>
  <c r="R70" i="1"/>
  <c r="L37" i="1"/>
  <c r="S32" i="1"/>
  <c r="R67" i="1"/>
  <c r="L32" i="1"/>
  <c r="S39" i="1"/>
  <c r="L39" i="1"/>
  <c r="R69" i="1"/>
  <c r="L34" i="1"/>
  <c r="S34" i="1"/>
  <c r="M27" i="1"/>
  <c r="R62" i="1" s="1"/>
  <c r="J29" i="1"/>
  <c r="K31" i="1"/>
  <c r="C35" i="1"/>
  <c r="K35" i="1" s="1"/>
  <c r="C42" i="1"/>
  <c r="S33" i="1"/>
  <c r="L33" i="1"/>
  <c r="R68" i="1"/>
  <c r="O35" i="1" l="1"/>
  <c r="L35" i="1"/>
  <c r="K42" i="1"/>
  <c r="R66" i="1"/>
  <c r="R72" i="1" s="1"/>
  <c r="S31" i="1"/>
  <c r="L31" i="1"/>
  <c r="S42" i="1" l="1"/>
  <c r="L42" i="1"/>
</calcChain>
</file>

<file path=xl/sharedStrings.xml><?xml version="1.0" encoding="utf-8"?>
<sst xmlns="http://schemas.openxmlformats.org/spreadsheetml/2006/main" count="143" uniqueCount="75">
  <si>
    <t>Nyőgéri Közös Önkormányzati Hivatal 2019. évi költségvetése</t>
  </si>
  <si>
    <t xml:space="preserve"> 2019. 02. 13-i képviselő-testületi ülésre</t>
  </si>
  <si>
    <t xml:space="preserve">2019. évi költségvetés tervezet </t>
  </si>
  <si>
    <t xml:space="preserve">normatíva összege: </t>
  </si>
  <si>
    <t>Ft/fő</t>
  </si>
  <si>
    <t>2019. évi terv adatok</t>
  </si>
  <si>
    <t>Bejcgyertyános-Nyőgér-Sótony</t>
  </si>
  <si>
    <t>Meggyeskovácsi</t>
  </si>
  <si>
    <t>Káld</t>
  </si>
  <si>
    <t>Bögöte</t>
  </si>
  <si>
    <t>Kistérség</t>
  </si>
  <si>
    <t>Jegyző, aljegyző foglalkoztatása</t>
  </si>
  <si>
    <t>Összesen</t>
  </si>
  <si>
    <t>Kiegy.bérrendezési alapból</t>
  </si>
  <si>
    <t>Létszám fő</t>
  </si>
  <si>
    <t>jegyző (1 fő)</t>
  </si>
  <si>
    <t>aljegyző (1fő)</t>
  </si>
  <si>
    <t>Jegyzők összesen</t>
  </si>
  <si>
    <t>Finanszírozott létszám fő</t>
  </si>
  <si>
    <t>Személyi kiadások</t>
  </si>
  <si>
    <t>Önk.saját forrásból</t>
  </si>
  <si>
    <t>Járulékok</t>
  </si>
  <si>
    <t>Dologi kiadások</t>
  </si>
  <si>
    <t>Tárgyi eszköz besz.</t>
  </si>
  <si>
    <t>Összes kiadás</t>
  </si>
  <si>
    <t>Összes kiadás külön források korrekcióival</t>
  </si>
  <si>
    <t>1 főre eső tényleges kiadás</t>
  </si>
  <si>
    <t>1 fő finanszírozott létszámra eső kiadás</t>
  </si>
  <si>
    <t>Költségigény</t>
  </si>
  <si>
    <t>Felosztandó Költségigény</t>
  </si>
  <si>
    <t>Állami támogatás összesen</t>
  </si>
  <si>
    <t>Káldi társulástól pe-átvétel</t>
  </si>
  <si>
    <t>Kistérségi pénzeszköz átvétel</t>
  </si>
  <si>
    <t>Önkormányzatok által finanszírozandó</t>
  </si>
  <si>
    <t>Önkormányzatok által külön finanszírozandó</t>
  </si>
  <si>
    <t>Megosztás</t>
  </si>
  <si>
    <t>Lakosságszám 2018. január 1.</t>
  </si>
  <si>
    <t>Bejcgyertyános-Nyőgér-Sótony-Meggyeskovácsi központ és kirendeltsége költségei (saját forrás)</t>
  </si>
  <si>
    <t>Káld-Bögöte kirendeltség költségei (saját forrás)</t>
  </si>
  <si>
    <t>Közös jegyzői költségek</t>
  </si>
  <si>
    <t>Önkormányzatok által saját forrásból finanszírozandó</t>
  </si>
  <si>
    <t>Havi finanszírozás</t>
  </si>
  <si>
    <t>2013.</t>
  </si>
  <si>
    <t>2014.</t>
  </si>
  <si>
    <t>2015.</t>
  </si>
  <si>
    <t>2016.</t>
  </si>
  <si>
    <t>2017.</t>
  </si>
  <si>
    <t>2018.</t>
  </si>
  <si>
    <t>kül.(2019-2018)</t>
  </si>
  <si>
    <t xml:space="preserve">Bejcgyertyános           </t>
  </si>
  <si>
    <t xml:space="preserve">Nyőgér                        </t>
  </si>
  <si>
    <t xml:space="preserve">Sótony                        </t>
  </si>
  <si>
    <t xml:space="preserve">Meggyeskovácsi          </t>
  </si>
  <si>
    <t>B-N-S-Mk együtt      60 %</t>
  </si>
  <si>
    <t xml:space="preserve">Káld                            </t>
  </si>
  <si>
    <t xml:space="preserve">Bögöte                           </t>
  </si>
  <si>
    <t>K-B együtt                   41%</t>
  </si>
  <si>
    <t>6 település összesen</t>
  </si>
  <si>
    <t>Lakosságszám fő</t>
  </si>
  <si>
    <t>2012. január 1.</t>
  </si>
  <si>
    <t>2013. január 1</t>
  </si>
  <si>
    <t>Változás</t>
  </si>
  <si>
    <t>2013. január 1.</t>
  </si>
  <si>
    <t>2014. január 1</t>
  </si>
  <si>
    <t>2014. január 1.</t>
  </si>
  <si>
    <t>2015. január 1</t>
  </si>
  <si>
    <t>Mindösszesen:</t>
  </si>
  <si>
    <t>KÖH költségvetési főösszege</t>
  </si>
  <si>
    <t>2016. január 1</t>
  </si>
  <si>
    <t>2017. január 1</t>
  </si>
  <si>
    <t>2018. január 1</t>
  </si>
  <si>
    <t>Állami támogatás összege</t>
  </si>
  <si>
    <t>dr. Lendvai Róbert</t>
  </si>
  <si>
    <t xml:space="preserve">    jegyző</t>
  </si>
  <si>
    <t>Nyőgér, 2019. február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</si>
</sst>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10"/>
      <color theme="0"/>
      <name val="Arial CE"/>
      <charset val="238"/>
    </font>
    <font>
      <sz val="10"/>
      <color theme="0" tint="-0.14999847407452621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b/>
      <u/>
      <sz val="10"/>
      <color theme="1"/>
      <name val="Arial CE"/>
      <charset val="238"/>
    </font>
    <font>
      <sz val="10"/>
      <color indexed="27"/>
      <name val="Arial CE"/>
      <charset val="238"/>
    </font>
    <font>
      <b/>
      <sz val="10"/>
      <color theme="0" tint="-0.149998474074526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right"/>
    </xf>
    <xf numFmtId="164" fontId="0" fillId="0" borderId="2" xfId="1" applyNumberFormat="1" applyFont="1" applyBorder="1"/>
    <xf numFmtId="164" fontId="2" fillId="0" borderId="0" xfId="1" applyNumberFormat="1" applyFont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6" fillId="0" borderId="19" xfId="0" applyFont="1" applyBorder="1" applyAlignment="1">
      <alignment horizontal="center" vertical="center"/>
    </xf>
    <xf numFmtId="43" fontId="2" fillId="0" borderId="0" xfId="1" applyFont="1"/>
    <xf numFmtId="0" fontId="2" fillId="0" borderId="0" xfId="0" applyFont="1" applyAlignment="1">
      <alignment horizontal="center"/>
    </xf>
    <xf numFmtId="0" fontId="0" fillId="0" borderId="20" xfId="0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" xfId="0" applyBorder="1"/>
    <xf numFmtId="0" fontId="0" fillId="0" borderId="27" xfId="0" applyBorder="1"/>
    <xf numFmtId="2" fontId="6" fillId="0" borderId="22" xfId="0" applyNumberFormat="1" applyFont="1" applyBorder="1" applyAlignment="1">
      <alignment horizontal="center"/>
    </xf>
    <xf numFmtId="0" fontId="2" fillId="0" borderId="28" xfId="0" applyFont="1" applyBorder="1"/>
    <xf numFmtId="2" fontId="6" fillId="0" borderId="28" xfId="0" applyNumberFormat="1" applyFont="1" applyBorder="1" applyAlignment="1">
      <alignment horizontal="center"/>
    </xf>
    <xf numFmtId="164" fontId="0" fillId="0" borderId="21" xfId="1" applyNumberFormat="1" applyFont="1" applyBorder="1"/>
    <xf numFmtId="0" fontId="0" fillId="0" borderId="26" xfId="0" applyBorder="1"/>
    <xf numFmtId="164" fontId="0" fillId="0" borderId="29" xfId="1" applyNumberFormat="1" applyFont="1" applyBorder="1"/>
    <xf numFmtId="164" fontId="0" fillId="0" borderId="26" xfId="1" applyNumberFormat="1" applyFont="1" applyBorder="1"/>
    <xf numFmtId="164" fontId="0" fillId="0" borderId="27" xfId="1" applyNumberFormat="1" applyFont="1" applyBorder="1"/>
    <xf numFmtId="164" fontId="8" fillId="0" borderId="28" xfId="1" applyNumberFormat="1" applyFont="1" applyBorder="1"/>
    <xf numFmtId="164" fontId="6" fillId="0" borderId="30" xfId="1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64" fontId="6" fillId="0" borderId="31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left" indent="1"/>
    </xf>
    <xf numFmtId="164" fontId="8" fillId="0" borderId="29" xfId="1" applyNumberFormat="1" applyFont="1" applyBorder="1"/>
    <xf numFmtId="164" fontId="8" fillId="0" borderId="26" xfId="1" applyNumberFormat="1" applyFont="1" applyBorder="1"/>
    <xf numFmtId="164" fontId="8" fillId="0" borderId="27" xfId="1" applyNumberFormat="1" applyFont="1" applyBorder="1"/>
    <xf numFmtId="0" fontId="8" fillId="0" borderId="32" xfId="0" applyFont="1" applyBorder="1"/>
    <xf numFmtId="164" fontId="8" fillId="0" borderId="2" xfId="1" applyNumberFormat="1" applyFont="1" applyBorder="1"/>
    <xf numFmtId="164" fontId="6" fillId="0" borderId="33" xfId="1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/>
    </xf>
    <xf numFmtId="164" fontId="10" fillId="0" borderId="0" xfId="1" applyNumberFormat="1" applyFont="1"/>
    <xf numFmtId="164" fontId="10" fillId="0" borderId="0" xfId="0" applyNumberFormat="1" applyFont="1"/>
    <xf numFmtId="0" fontId="8" fillId="0" borderId="0" xfId="0" applyFont="1"/>
    <xf numFmtId="164" fontId="8" fillId="0" borderId="25" xfId="1" applyNumberFormat="1" applyFont="1" applyBorder="1"/>
    <xf numFmtId="164" fontId="8" fillId="0" borderId="21" xfId="1" applyNumberFormat="1" applyFont="1" applyBorder="1"/>
    <xf numFmtId="3" fontId="8" fillId="0" borderId="26" xfId="0" applyNumberFormat="1" applyFont="1" applyBorder="1" applyAlignment="1">
      <alignment horizontal="right"/>
    </xf>
    <xf numFmtId="164" fontId="8" fillId="0" borderId="20" xfId="1" applyNumberFormat="1" applyFont="1" applyBorder="1"/>
    <xf numFmtId="164" fontId="0" fillId="0" borderId="25" xfId="1" applyNumberFormat="1" applyFont="1" applyBorder="1"/>
    <xf numFmtId="164" fontId="0" fillId="0" borderId="34" xfId="1" applyNumberFormat="1" applyFont="1" applyBorder="1" applyAlignment="1">
      <alignment horizontal="center"/>
    </xf>
    <xf numFmtId="164" fontId="6" fillId="0" borderId="22" xfId="1" applyNumberFormat="1" applyFont="1" applyBorder="1"/>
    <xf numFmtId="0" fontId="9" fillId="0" borderId="28" xfId="0" applyFont="1" applyBorder="1"/>
    <xf numFmtId="164" fontId="6" fillId="0" borderId="28" xfId="1" applyNumberFormat="1" applyFont="1" applyBorder="1"/>
    <xf numFmtId="164" fontId="0" fillId="0" borderId="20" xfId="1" applyNumberFormat="1" applyFont="1" applyBorder="1" applyAlignment="1">
      <alignment horizontal="center"/>
    </xf>
    <xf numFmtId="164" fontId="0" fillId="0" borderId="21" xfId="1" applyNumberFormat="1" applyFont="1" applyBorder="1"/>
    <xf numFmtId="164" fontId="0" fillId="0" borderId="26" xfId="1" applyNumberFormat="1" applyFont="1" applyBorder="1" applyAlignment="1">
      <alignment horizontal="center"/>
    </xf>
    <xf numFmtId="164" fontId="5" fillId="0" borderId="21" xfId="1" applyNumberFormat="1" applyFont="1" applyBorder="1"/>
    <xf numFmtId="164" fontId="5" fillId="0" borderId="29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4" fontId="5" fillId="0" borderId="25" xfId="1" applyNumberFormat="1" applyFont="1" applyBorder="1"/>
    <xf numFmtId="164" fontId="5" fillId="0" borderId="2" xfId="1" applyNumberFormat="1" applyFont="1" applyBorder="1"/>
    <xf numFmtId="3" fontId="6" fillId="0" borderId="28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164" fontId="6" fillId="0" borderId="21" xfId="1" applyNumberFormat="1" applyFont="1" applyBorder="1"/>
    <xf numFmtId="164" fontId="6" fillId="0" borderId="26" xfId="0" applyNumberFormat="1" applyFont="1" applyBorder="1"/>
    <xf numFmtId="164" fontId="6" fillId="0" borderId="29" xfId="0" applyNumberFormat="1" applyFont="1" applyBorder="1"/>
    <xf numFmtId="164" fontId="6" fillId="0" borderId="25" xfId="0" applyNumberFormat="1" applyFont="1" applyBorder="1"/>
    <xf numFmtId="0" fontId="6" fillId="0" borderId="28" xfId="0" applyFont="1" applyBorder="1"/>
    <xf numFmtId="164" fontId="9" fillId="0" borderId="0" xfId="1" applyNumberFormat="1" applyFont="1"/>
    <xf numFmtId="164" fontId="9" fillId="0" borderId="0" xfId="0" applyNumberFormat="1" applyFont="1"/>
    <xf numFmtId="0" fontId="6" fillId="0" borderId="0" xfId="0" applyFont="1"/>
    <xf numFmtId="0" fontId="0" fillId="0" borderId="20" xfId="0" applyBorder="1" applyAlignment="1">
      <alignment wrapText="1"/>
    </xf>
    <xf numFmtId="164" fontId="5" fillId="2" borderId="35" xfId="1" applyNumberFormat="1" applyFont="1" applyFill="1" applyBorder="1"/>
    <xf numFmtId="164" fontId="5" fillId="2" borderId="36" xfId="1" applyNumberFormat="1" applyFont="1" applyFill="1" applyBorder="1"/>
    <xf numFmtId="164" fontId="5" fillId="2" borderId="37" xfId="1" applyNumberFormat="1" applyFont="1" applyFill="1" applyBorder="1"/>
    <xf numFmtId="0" fontId="11" fillId="0" borderId="28" xfId="0" applyFont="1" applyBorder="1"/>
    <xf numFmtId="164" fontId="6" fillId="0" borderId="25" xfId="1" applyNumberFormat="1" applyFont="1" applyBorder="1"/>
    <xf numFmtId="0" fontId="0" fillId="0" borderId="38" xfId="0" applyBorder="1" applyAlignment="1">
      <alignment wrapText="1"/>
    </xf>
    <xf numFmtId="165" fontId="5" fillId="0" borderId="39" xfId="1" applyNumberFormat="1" applyFont="1" applyBorder="1" applyAlignment="1">
      <alignment horizontal="center" vertical="center"/>
    </xf>
    <xf numFmtId="165" fontId="5" fillId="0" borderId="40" xfId="1" applyNumberFormat="1" applyFont="1" applyBorder="1" applyAlignment="1">
      <alignment horizontal="center" vertical="center"/>
    </xf>
    <xf numFmtId="165" fontId="5" fillId="0" borderId="41" xfId="1" applyNumberFormat="1" applyFont="1" applyBorder="1" applyAlignment="1">
      <alignment horizontal="center" vertical="center"/>
    </xf>
    <xf numFmtId="164" fontId="0" fillId="0" borderId="42" xfId="1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/>
    <xf numFmtId="0" fontId="0" fillId="0" borderId="44" xfId="0" applyBorder="1"/>
    <xf numFmtId="0" fontId="0" fillId="2" borderId="45" xfId="0" applyFill="1" applyBorder="1"/>
    <xf numFmtId="164" fontId="6" fillId="0" borderId="40" xfId="1" applyNumberFormat="1" applyFont="1" applyBorder="1" applyAlignment="1">
      <alignment vertical="center"/>
    </xf>
    <xf numFmtId="0" fontId="9" fillId="0" borderId="46" xfId="0" applyFont="1" applyBorder="1"/>
    <xf numFmtId="164" fontId="6" fillId="0" borderId="47" xfId="1" applyNumberFormat="1" applyFont="1" applyBorder="1"/>
    <xf numFmtId="0" fontId="6" fillId="0" borderId="11" xfId="0" applyFont="1" applyBorder="1"/>
    <xf numFmtId="165" fontId="5" fillId="0" borderId="48" xfId="1" applyNumberFormat="1" applyFont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165" fontId="5" fillId="0" borderId="49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2" fillId="0" borderId="25" xfId="0" applyNumberFormat="1" applyFont="1" applyBorder="1"/>
    <xf numFmtId="0" fontId="0" fillId="2" borderId="50" xfId="0" applyFill="1" applyBorder="1"/>
    <xf numFmtId="164" fontId="6" fillId="0" borderId="19" xfId="1" applyNumberFormat="1" applyFont="1" applyBorder="1"/>
    <xf numFmtId="3" fontId="9" fillId="0" borderId="18" xfId="0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vertical="center"/>
    </xf>
    <xf numFmtId="0" fontId="6" fillId="0" borderId="22" xfId="0" applyFont="1" applyBorder="1"/>
    <xf numFmtId="0" fontId="6" fillId="0" borderId="23" xfId="0" applyFont="1" applyBorder="1"/>
    <xf numFmtId="164" fontId="6" fillId="0" borderId="26" xfId="1" applyNumberFormat="1" applyFont="1" applyBorder="1" applyAlignment="1">
      <alignment horizontal="right" vertical="top"/>
    </xf>
    <xf numFmtId="164" fontId="6" fillId="0" borderId="27" xfId="1" applyNumberFormat="1" applyFont="1" applyBorder="1" applyAlignment="1">
      <alignment horizontal="right" vertical="top"/>
    </xf>
    <xf numFmtId="164" fontId="6" fillId="0" borderId="16" xfId="1" applyNumberFormat="1" applyFont="1" applyBorder="1" applyAlignment="1">
      <alignment horizontal="right" vertical="top"/>
    </xf>
    <xf numFmtId="164" fontId="6" fillId="0" borderId="32" xfId="1" applyNumberFormat="1" applyFont="1" applyBorder="1"/>
    <xf numFmtId="0" fontId="6" fillId="0" borderId="22" xfId="0" applyFont="1" applyBorder="1"/>
    <xf numFmtId="164" fontId="6" fillId="0" borderId="21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25" xfId="1" applyNumberFormat="1" applyFont="1" applyBorder="1" applyAlignment="1">
      <alignment horizontal="center"/>
    </xf>
    <xf numFmtId="164" fontId="9" fillId="0" borderId="28" xfId="1" applyNumberFormat="1" applyFont="1" applyBorder="1"/>
    <xf numFmtId="164" fontId="12" fillId="2" borderId="25" xfId="1" applyNumberFormat="1" applyFont="1" applyFill="1" applyBorder="1" applyAlignment="1">
      <alignment horizontal="right" vertical="top"/>
    </xf>
    <xf numFmtId="3" fontId="6" fillId="0" borderId="25" xfId="0" applyNumberFormat="1" applyFont="1" applyBorder="1" applyAlignment="1">
      <alignment horizontal="center"/>
    </xf>
    <xf numFmtId="164" fontId="2" fillId="0" borderId="48" xfId="1" applyNumberFormat="1" applyFont="1" applyBorder="1" applyAlignment="1">
      <alignment horizontal="center"/>
    </xf>
    <xf numFmtId="164" fontId="2" fillId="0" borderId="35" xfId="1" applyNumberFormat="1" applyFont="1" applyBorder="1" applyAlignment="1">
      <alignment horizontal="center"/>
    </xf>
    <xf numFmtId="164" fontId="2" fillId="0" borderId="49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right" vertical="top"/>
    </xf>
    <xf numFmtId="164" fontId="2" fillId="0" borderId="25" xfId="1" applyNumberFormat="1" applyFont="1" applyBorder="1" applyAlignment="1">
      <alignment horizontal="right" vertical="top"/>
    </xf>
    <xf numFmtId="0" fontId="2" fillId="0" borderId="25" xfId="0" applyFont="1" applyBorder="1"/>
    <xf numFmtId="164" fontId="12" fillId="2" borderId="51" xfId="1" applyNumberFormat="1" applyFont="1" applyFill="1" applyBorder="1" applyAlignment="1">
      <alignment horizontal="right" vertical="top"/>
    </xf>
    <xf numFmtId="0" fontId="2" fillId="0" borderId="22" xfId="0" applyFont="1" applyBorder="1"/>
    <xf numFmtId="0" fontId="0" fillId="0" borderId="38" xfId="0" applyBorder="1"/>
    <xf numFmtId="164" fontId="2" fillId="0" borderId="39" xfId="1" applyNumberFormat="1" applyFont="1" applyBorder="1" applyAlignment="1">
      <alignment horizontal="center"/>
    </xf>
    <xf numFmtId="164" fontId="2" fillId="0" borderId="40" xfId="1" applyNumberFormat="1" applyFont="1" applyBorder="1" applyAlignment="1">
      <alignment horizontal="center"/>
    </xf>
    <xf numFmtId="164" fontId="2" fillId="0" borderId="41" xfId="1" applyNumberFormat="1" applyFont="1" applyBorder="1" applyAlignment="1">
      <alignment horizontal="center"/>
    </xf>
    <xf numFmtId="164" fontId="2" fillId="0" borderId="42" xfId="1" applyNumberFormat="1" applyFont="1" applyBorder="1" applyAlignment="1">
      <alignment horizontal="right" vertical="top"/>
    </xf>
    <xf numFmtId="164" fontId="2" fillId="0" borderId="43" xfId="1" applyNumberFormat="1" applyFont="1" applyBorder="1" applyAlignment="1">
      <alignment horizontal="right" vertical="top"/>
    </xf>
    <xf numFmtId="164" fontId="0" fillId="0" borderId="43" xfId="1" applyNumberFormat="1" applyFont="1" applyBorder="1"/>
    <xf numFmtId="164" fontId="12" fillId="2" borderId="52" xfId="1" applyNumberFormat="1" applyFont="1" applyFill="1" applyBorder="1" applyAlignment="1">
      <alignment horizontal="right" vertical="top"/>
    </xf>
    <xf numFmtId="0" fontId="2" fillId="0" borderId="35" xfId="0" applyFont="1" applyBorder="1"/>
    <xf numFmtId="0" fontId="6" fillId="0" borderId="3" xfId="0" applyFont="1" applyBorder="1" applyAlignment="1">
      <alignment wrapText="1"/>
    </xf>
    <xf numFmtId="164" fontId="6" fillId="0" borderId="4" xfId="1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164" fontId="6" fillId="0" borderId="54" xfId="1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4" fontId="6" fillId="0" borderId="55" xfId="0" applyNumberFormat="1" applyFont="1" applyBorder="1" applyAlignment="1">
      <alignment horizontal="center"/>
    </xf>
    <xf numFmtId="0" fontId="0" fillId="0" borderId="1" xfId="0" applyBorder="1"/>
    <xf numFmtId="0" fontId="0" fillId="0" borderId="56" xfId="0" applyBorder="1"/>
    <xf numFmtId="164" fontId="6" fillId="0" borderId="45" xfId="0" applyNumberFormat="1" applyFont="1" applyBorder="1" applyAlignment="1">
      <alignment horizontal="center"/>
    </xf>
    <xf numFmtId="164" fontId="9" fillId="3" borderId="57" xfId="0" applyNumberFormat="1" applyFont="1" applyFill="1" applyBorder="1"/>
    <xf numFmtId="3" fontId="6" fillId="0" borderId="57" xfId="0" applyNumberFormat="1" applyFont="1" applyBorder="1" applyAlignment="1">
      <alignment horizontal="center"/>
    </xf>
    <xf numFmtId="164" fontId="6" fillId="0" borderId="46" xfId="1" applyNumberFormat="1" applyFont="1" applyBorder="1"/>
    <xf numFmtId="164" fontId="6" fillId="0" borderId="0" xfId="0" applyNumberFormat="1" applyFont="1"/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/>
    <xf numFmtId="3" fontId="0" fillId="0" borderId="13" xfId="0" applyNumberFormat="1" applyBorder="1"/>
    <xf numFmtId="0" fontId="0" fillId="0" borderId="12" xfId="0" applyBorder="1"/>
    <xf numFmtId="164" fontId="3" fillId="3" borderId="0" xfId="0" applyNumberFormat="1" applyFont="1" applyFill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48" xfId="0" applyFill="1" applyBorder="1" applyAlignment="1">
      <alignment vertical="center"/>
    </xf>
    <xf numFmtId="0" fontId="0" fillId="0" borderId="36" xfId="0" applyBorder="1"/>
    <xf numFmtId="0" fontId="0" fillId="0" borderId="21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164" fontId="0" fillId="0" borderId="21" xfId="0" applyNumberFormat="1" applyBorder="1"/>
    <xf numFmtId="0" fontId="4" fillId="2" borderId="48" xfId="0" applyFont="1" applyFill="1" applyBorder="1"/>
    <xf numFmtId="0" fontId="4" fillId="2" borderId="36" xfId="0" applyFont="1" applyFill="1" applyBorder="1"/>
    <xf numFmtId="0" fontId="0" fillId="2" borderId="0" xfId="0" applyFill="1"/>
    <xf numFmtId="0" fontId="0" fillId="0" borderId="58" xfId="0" applyBorder="1"/>
    <xf numFmtId="164" fontId="0" fillId="0" borderId="21" xfId="0" applyNumberFormat="1" applyBorder="1"/>
    <xf numFmtId="164" fontId="6" fillId="0" borderId="28" xfId="0" applyNumberFormat="1" applyFont="1" applyBorder="1"/>
    <xf numFmtId="164" fontId="2" fillId="0" borderId="26" xfId="0" applyNumberFormat="1" applyFont="1" applyBorder="1"/>
    <xf numFmtId="164" fontId="2" fillId="0" borderId="2" xfId="0" applyNumberFormat="1" applyFont="1" applyBorder="1"/>
    <xf numFmtId="164" fontId="0" fillId="0" borderId="22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58" xfId="0" applyFont="1" applyFill="1" applyBorder="1"/>
    <xf numFmtId="0" fontId="4" fillId="2" borderId="44" xfId="0" applyFont="1" applyFill="1" applyBorder="1"/>
    <xf numFmtId="0" fontId="2" fillId="0" borderId="2" xfId="0" applyFont="1" applyBorder="1"/>
    <xf numFmtId="164" fontId="0" fillId="0" borderId="2" xfId="0" applyNumberFormat="1" applyBorder="1" applyAlignment="1">
      <alignment horizontal="center"/>
    </xf>
    <xf numFmtId="0" fontId="2" fillId="4" borderId="2" xfId="0" applyFont="1" applyFill="1" applyBorder="1"/>
    <xf numFmtId="0" fontId="9" fillId="4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/>
    <xf numFmtId="164" fontId="13" fillId="0" borderId="12" xfId="0" applyNumberFormat="1" applyFont="1" applyBorder="1"/>
    <xf numFmtId="164" fontId="0" fillId="0" borderId="59" xfId="0" applyNumberFormat="1" applyBorder="1"/>
    <xf numFmtId="164" fontId="0" fillId="0" borderId="0" xfId="0" applyNumberFormat="1"/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4" fillId="0" borderId="36" xfId="0" applyFont="1" applyBorder="1"/>
    <xf numFmtId="0" fontId="4" fillId="0" borderId="12" xfId="0" applyFont="1" applyBorder="1"/>
    <xf numFmtId="0" fontId="4" fillId="0" borderId="13" xfId="0" applyFont="1" applyBorder="1"/>
    <xf numFmtId="164" fontId="0" fillId="2" borderId="21" xfId="0" applyNumberFormat="1" applyFill="1" applyBorder="1"/>
    <xf numFmtId="0" fontId="0" fillId="5" borderId="35" xfId="0" applyFill="1" applyBorder="1"/>
    <xf numFmtId="164" fontId="2" fillId="2" borderId="2" xfId="0" applyNumberFormat="1" applyFont="1" applyFill="1" applyBorder="1"/>
    <xf numFmtId="0" fontId="2" fillId="5" borderId="2" xfId="0" applyFont="1" applyFill="1" applyBorder="1"/>
    <xf numFmtId="0" fontId="0" fillId="5" borderId="22" xfId="0" applyFill="1" applyBorder="1"/>
    <xf numFmtId="164" fontId="0" fillId="2" borderId="22" xfId="0" applyNumberFormat="1" applyFill="1" applyBorder="1"/>
    <xf numFmtId="164" fontId="0" fillId="2" borderId="2" xfId="0" applyNumberFormat="1" applyFill="1" applyBorder="1"/>
    <xf numFmtId="164" fontId="0" fillId="3" borderId="0" xfId="0" applyNumberFormat="1" applyFill="1"/>
    <xf numFmtId="0" fontId="0" fillId="5" borderId="0" xfId="0" applyFill="1"/>
    <xf numFmtId="0" fontId="4" fillId="0" borderId="58" xfId="0" applyFont="1" applyBorder="1"/>
    <xf numFmtId="0" fontId="4" fillId="0" borderId="44" xfId="0" applyFont="1" applyBorder="1"/>
    <xf numFmtId="164" fontId="0" fillId="0" borderId="2" xfId="0" applyNumberFormat="1" applyBorder="1"/>
    <xf numFmtId="0" fontId="0" fillId="0" borderId="2" xfId="0" applyBorder="1"/>
    <xf numFmtId="164" fontId="2" fillId="0" borderId="20" xfId="0" applyNumberFormat="1" applyFont="1" applyBorder="1"/>
    <xf numFmtId="164" fontId="2" fillId="0" borderId="60" xfId="0" applyNumberFormat="1" applyFon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60" xfId="0" applyNumberFormat="1" applyBorder="1" applyAlignment="1">
      <alignment vertical="center"/>
    </xf>
    <xf numFmtId="164" fontId="0" fillId="0" borderId="48" xfId="0" applyNumberFormat="1" applyBorder="1" applyAlignment="1">
      <alignment vertical="center"/>
    </xf>
    <xf numFmtId="164" fontId="0" fillId="0" borderId="17" xfId="0" applyNumberFormat="1" applyBorder="1"/>
    <xf numFmtId="164" fontId="0" fillId="0" borderId="60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4" borderId="2" xfId="0" applyFont="1" applyFill="1" applyBorder="1"/>
    <xf numFmtId="0" fontId="13" fillId="4" borderId="2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44" xfId="0" applyFont="1" applyFill="1" applyBorder="1"/>
    <xf numFmtId="164" fontId="4" fillId="0" borderId="2" xfId="0" applyNumberFormat="1" applyFont="1" applyBorder="1"/>
    <xf numFmtId="0" fontId="4" fillId="0" borderId="2" xfId="0" applyFont="1" applyBorder="1"/>
    <xf numFmtId="164" fontId="13" fillId="0" borderId="27" xfId="0" applyNumberFormat="1" applyFont="1" applyBorder="1"/>
    <xf numFmtId="164" fontId="2" fillId="0" borderId="22" xfId="0" applyNumberFormat="1" applyFont="1" applyBorder="1"/>
    <xf numFmtId="164" fontId="0" fillId="0" borderId="61" xfId="0" applyNumberFormat="1" applyBorder="1" applyAlignment="1">
      <alignment vertical="center"/>
    </xf>
    <xf numFmtId="164" fontId="0" fillId="0" borderId="58" xfId="0" applyNumberFormat="1" applyBorder="1" applyAlignment="1">
      <alignment vertical="center"/>
    </xf>
    <xf numFmtId="0" fontId="4" fillId="2" borderId="21" xfId="0" applyFont="1" applyFill="1" applyBorder="1"/>
    <xf numFmtId="0" fontId="4" fillId="2" borderId="26" xfId="0" applyFont="1" applyFill="1" applyBorder="1"/>
    <xf numFmtId="164" fontId="6" fillId="5" borderId="48" xfId="0" applyNumberFormat="1" applyFont="1" applyFill="1" applyBorder="1"/>
    <xf numFmtId="0" fontId="6" fillId="5" borderId="36" xfId="0" applyFont="1" applyFill="1" applyBorder="1"/>
    <xf numFmtId="0" fontId="0" fillId="2" borderId="25" xfId="0" applyFill="1" applyBorder="1"/>
    <xf numFmtId="164" fontId="0" fillId="0" borderId="12" xfId="0" applyNumberFormat="1" applyBorder="1"/>
    <xf numFmtId="164" fontId="0" fillId="0" borderId="18" xfId="0" applyNumberFormat="1" applyBorder="1"/>
    <xf numFmtId="0" fontId="4" fillId="2" borderId="21" xfId="0" applyFont="1" applyFill="1" applyBorder="1"/>
    <xf numFmtId="0" fontId="4" fillId="2" borderId="26" xfId="0" applyFont="1" applyFill="1" applyBorder="1"/>
    <xf numFmtId="164" fontId="6" fillId="5" borderId="58" xfId="0" applyNumberFormat="1" applyFont="1" applyFill="1" applyBorder="1"/>
    <xf numFmtId="0" fontId="6" fillId="5" borderId="44" xfId="0" applyFont="1" applyFill="1" applyBorder="1"/>
    <xf numFmtId="164" fontId="0" fillId="2" borderId="21" xfId="0" applyNumberFormat="1" applyFill="1" applyBorder="1"/>
    <xf numFmtId="164" fontId="0" fillId="2" borderId="25" xfId="0" applyNumberFormat="1" applyFill="1" applyBorder="1"/>
    <xf numFmtId="0" fontId="6" fillId="0" borderId="60" xfId="0" applyFont="1" applyBorder="1"/>
    <xf numFmtId="0" fontId="6" fillId="0" borderId="60" xfId="0" applyFont="1" applyBorder="1" applyAlignment="1">
      <alignment horizontal="center"/>
    </xf>
    <xf numFmtId="0" fontId="6" fillId="5" borderId="58" xfId="0" applyFont="1" applyFill="1" applyBorder="1"/>
    <xf numFmtId="0" fontId="6" fillId="2" borderId="0" xfId="0" applyFont="1" applyFill="1"/>
    <xf numFmtId="164" fontId="6" fillId="0" borderId="37" xfId="0" applyNumberFormat="1" applyFont="1" applyBorder="1"/>
    <xf numFmtId="164" fontId="6" fillId="0" borderId="51" xfId="0" applyNumberFormat="1" applyFont="1" applyBorder="1"/>
    <xf numFmtId="164" fontId="9" fillId="0" borderId="35" xfId="0" applyNumberFormat="1" applyFont="1" applyBorder="1"/>
    <xf numFmtId="164" fontId="9" fillId="0" borderId="2" xfId="0" applyNumberFormat="1" applyFont="1" applyBorder="1"/>
    <xf numFmtId="164" fontId="6" fillId="0" borderId="2" xfId="0" applyNumberFormat="1" applyFont="1" applyBorder="1"/>
    <xf numFmtId="164" fontId="6" fillId="0" borderId="22" xfId="0" applyNumberFormat="1" applyFont="1" applyBorder="1"/>
    <xf numFmtId="164" fontId="6" fillId="0" borderId="35" xfId="0" applyNumberFormat="1" applyFont="1" applyBorder="1"/>
    <xf numFmtId="0" fontId="0" fillId="0" borderId="62" xfId="0" applyBorder="1"/>
    <xf numFmtId="0" fontId="6" fillId="0" borderId="62" xfId="0" applyFont="1" applyBorder="1" applyAlignment="1">
      <alignment horizontal="center"/>
    </xf>
    <xf numFmtId="164" fontId="6" fillId="5" borderId="39" xfId="0" applyNumberFormat="1" applyFont="1" applyFill="1" applyBorder="1"/>
    <xf numFmtId="0" fontId="0" fillId="0" borderId="63" xfId="0" applyBorder="1"/>
    <xf numFmtId="0" fontId="6" fillId="5" borderId="39" xfId="0" applyFont="1" applyFill="1" applyBorder="1"/>
    <xf numFmtId="0" fontId="6" fillId="5" borderId="63" xfId="0" applyFont="1" applyFill="1" applyBorder="1"/>
    <xf numFmtId="164" fontId="6" fillId="5" borderId="62" xfId="0" applyNumberFormat="1" applyFont="1" applyFill="1" applyBorder="1"/>
    <xf numFmtId="164" fontId="13" fillId="0" borderId="52" xfId="0" applyNumberFormat="1" applyFont="1" applyBorder="1"/>
    <xf numFmtId="164" fontId="13" fillId="0" borderId="43" xfId="0" applyNumberFormat="1" applyFont="1" applyBorder="1"/>
    <xf numFmtId="164" fontId="2" fillId="0" borderId="40" xfId="0" applyNumberFormat="1" applyFont="1" applyBorder="1"/>
    <xf numFmtId="164" fontId="2" fillId="0" borderId="62" xfId="0" applyNumberFormat="1" applyFont="1" applyBorder="1"/>
    <xf numFmtId="164" fontId="0" fillId="0" borderId="62" xfId="0" applyNumberFormat="1" applyBorder="1"/>
    <xf numFmtId="0" fontId="2" fillId="0" borderId="2" xfId="0" applyFont="1" applyBorder="1" applyAlignment="1">
      <alignment horizontal="center"/>
    </xf>
    <xf numFmtId="164" fontId="0" fillId="0" borderId="0" xfId="1" applyNumberFormat="1" applyFont="1"/>
    <xf numFmtId="0" fontId="6" fillId="0" borderId="2" xfId="0" applyFont="1" applyBorder="1"/>
    <xf numFmtId="0" fontId="9" fillId="0" borderId="2" xfId="0" applyFont="1" applyBorder="1"/>
    <xf numFmtId="0" fontId="6" fillId="0" borderId="2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14;H_2019.%20&#233;vi%20terv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.létsz.2015.évi"/>
      <sheetName val="fin. létsz.2016. évi"/>
      <sheetName val="fin.létsz.2017.évi"/>
      <sheetName val="fin.létsz.2018.évi"/>
      <sheetName val="Bérek 2019"/>
      <sheetName val="Kiadás részletezés 2019"/>
      <sheetName val="Finanszírozás2019-támogatás nél"/>
      <sheetName val="Finanszírozás támogatással"/>
      <sheetName val="Béremelés hatása 2019-2"/>
      <sheetName val="Lak.ar.finanszírozás"/>
      <sheetName val="Béremelés hatása 2019-1"/>
      <sheetName val="Kiadás részletes2019.szem.töltv"/>
      <sheetName val="Munka2"/>
      <sheetName val="Cafetéria 2019"/>
      <sheetName val="Illetmények2017"/>
      <sheetName val="Munka1"/>
    </sheetNames>
    <sheetDataSet>
      <sheetData sheetId="0"/>
      <sheetData sheetId="1"/>
      <sheetData sheetId="2"/>
      <sheetData sheetId="3"/>
      <sheetData sheetId="4">
        <row r="9">
          <cell r="AL9">
            <v>5799003</v>
          </cell>
          <cell r="AM9">
            <v>1153109.385</v>
          </cell>
        </row>
        <row r="26">
          <cell r="AL26">
            <v>253705</v>
          </cell>
          <cell r="AM26">
            <v>49472.474999999999</v>
          </cell>
          <cell r="AN26">
            <v>303177.47499999998</v>
          </cell>
        </row>
        <row r="30">
          <cell r="AL30">
            <v>4225930</v>
          </cell>
          <cell r="AM30">
            <v>846360.15</v>
          </cell>
        </row>
        <row r="42">
          <cell r="AL42">
            <v>689000</v>
          </cell>
          <cell r="AM42">
            <v>134355</v>
          </cell>
          <cell r="AN42">
            <v>823355</v>
          </cell>
        </row>
        <row r="70">
          <cell r="AL70">
            <v>3289627</v>
          </cell>
          <cell r="AM70">
            <v>659213.29500000004</v>
          </cell>
          <cell r="AN70">
            <v>3948840.2949999999</v>
          </cell>
        </row>
      </sheetData>
      <sheetData sheetId="5">
        <row r="189">
          <cell r="AJ189">
            <v>20598169</v>
          </cell>
          <cell r="AL189">
            <v>6119676.666666666</v>
          </cell>
          <cell r="AM189">
            <v>6402591.666666667</v>
          </cell>
          <cell r="AN189">
            <v>8546053.6666666679</v>
          </cell>
          <cell r="AP189">
            <v>3801415</v>
          </cell>
        </row>
        <row r="190">
          <cell r="AJ190">
            <v>4123659.5550000006</v>
          </cell>
          <cell r="AL190">
            <v>1231841.0499999998</v>
          </cell>
          <cell r="AM190">
            <v>1239321.175</v>
          </cell>
          <cell r="AN190">
            <v>1727619.595</v>
          </cell>
          <cell r="AP190">
            <v>721574.86499999999</v>
          </cell>
        </row>
        <row r="191">
          <cell r="AJ191">
            <v>7813800</v>
          </cell>
          <cell r="AL191">
            <v>2228560</v>
          </cell>
          <cell r="AM191">
            <v>1039090</v>
          </cell>
          <cell r="AN191">
            <v>1997390</v>
          </cell>
          <cell r="AO191">
            <v>813200</v>
          </cell>
          <cell r="AP191">
            <v>167010</v>
          </cell>
        </row>
        <row r="192">
          <cell r="AJ192">
            <v>63500</v>
          </cell>
          <cell r="AL192">
            <v>23500</v>
          </cell>
          <cell r="AM192">
            <v>264800</v>
          </cell>
          <cell r="AN192">
            <v>63500</v>
          </cell>
          <cell r="AO192">
            <v>0</v>
          </cell>
          <cell r="AP192">
            <v>0</v>
          </cell>
        </row>
      </sheetData>
      <sheetData sheetId="6">
        <row r="12">
          <cell r="B12">
            <v>253705</v>
          </cell>
        </row>
      </sheetData>
      <sheetData sheetId="7"/>
      <sheetData sheetId="8">
        <row r="42">
          <cell r="U42">
            <v>7090821.375</v>
          </cell>
        </row>
        <row r="43">
          <cell r="V43">
            <v>1382710.1681250001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topLeftCell="A48" workbookViewId="0">
      <selection activeCell="A75" sqref="A75"/>
    </sheetView>
  </sheetViews>
  <sheetFormatPr defaultRowHeight="15" x14ac:dyDescent="0.25"/>
  <cols>
    <col min="1" max="1" width="24.140625" customWidth="1"/>
    <col min="2" max="2" width="16.5703125" customWidth="1"/>
    <col min="3" max="3" width="15.140625" customWidth="1"/>
    <col min="4" max="10" width="14.28515625" customWidth="1"/>
    <col min="11" max="11" width="16.28515625" customWidth="1"/>
    <col min="12" max="12" width="16.28515625" style="2" bestFit="1" customWidth="1"/>
    <col min="13" max="13" width="16.5703125" style="2" customWidth="1"/>
    <col min="14" max="14" width="14.42578125" customWidth="1"/>
    <col min="15" max="15" width="13.85546875" bestFit="1" customWidth="1"/>
    <col min="16" max="17" width="13.7109375" customWidth="1"/>
    <col min="18" max="18" width="15.85546875" customWidth="1"/>
    <col min="19" max="19" width="13.85546875" bestFit="1" customWidth="1"/>
    <col min="20" max="20" width="13.7109375" bestFit="1" customWidth="1"/>
    <col min="22" max="23" width="13.7109375" bestFit="1" customWidth="1"/>
    <col min="25" max="25" width="13.7109375" bestFit="1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N1" s="3"/>
      <c r="O1" s="3"/>
      <c r="P1" s="3"/>
      <c r="Q1" s="3"/>
      <c r="R1" s="3"/>
      <c r="S1" s="3"/>
    </row>
    <row r="2" spans="1: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N2" s="3"/>
      <c r="O2" s="3"/>
      <c r="P2" s="3"/>
      <c r="Q2" s="3"/>
      <c r="R2" s="3"/>
      <c r="S2" s="3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3"/>
      <c r="O3" s="3"/>
      <c r="P3" s="3"/>
      <c r="Q3" s="3"/>
      <c r="R3" s="3"/>
      <c r="S3" s="3"/>
    </row>
    <row r="4" spans="1:25" x14ac:dyDescent="0.25">
      <c r="J4" s="4">
        <f>SUM(K11:K15)</f>
        <v>80595374.775000006</v>
      </c>
      <c r="N4" s="3"/>
      <c r="O4" s="3"/>
      <c r="P4" s="3"/>
      <c r="Q4" s="3"/>
      <c r="R4" s="3"/>
      <c r="S4" s="3"/>
    </row>
    <row r="5" spans="1:2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5"/>
      <c r="N5" s="3"/>
      <c r="O5" s="3"/>
      <c r="P5" s="3"/>
      <c r="Q5" s="3"/>
      <c r="R5" s="3"/>
      <c r="S5" s="3"/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N6" s="3"/>
      <c r="O6" s="2"/>
      <c r="P6" s="3"/>
      <c r="Q6" s="3"/>
      <c r="R6" s="3"/>
      <c r="S6" s="3"/>
    </row>
    <row r="7" spans="1:25" ht="15.75" thickBot="1" x14ac:dyDescent="0.3">
      <c r="A7" s="7"/>
      <c r="B7" s="7"/>
      <c r="C7" s="7"/>
      <c r="D7" s="7"/>
      <c r="E7" s="8"/>
      <c r="F7" s="8"/>
      <c r="G7" s="9" t="s">
        <v>3</v>
      </c>
      <c r="H7" s="10">
        <v>4580000</v>
      </c>
      <c r="I7" t="s">
        <v>4</v>
      </c>
      <c r="N7" s="11"/>
      <c r="O7" s="1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6.25" thickBot="1" x14ac:dyDescent="0.3">
      <c r="A8" s="13" t="s">
        <v>5</v>
      </c>
      <c r="B8" s="14" t="s">
        <v>6</v>
      </c>
      <c r="C8" s="15"/>
      <c r="D8" s="16" t="s">
        <v>7</v>
      </c>
      <c r="E8" s="17" t="s">
        <v>8</v>
      </c>
      <c r="F8" s="18" t="s">
        <v>9</v>
      </c>
      <c r="G8" s="19" t="s">
        <v>10</v>
      </c>
      <c r="H8" s="20" t="s">
        <v>11</v>
      </c>
      <c r="I8" s="20"/>
      <c r="J8" s="21"/>
      <c r="K8" s="22" t="s">
        <v>12</v>
      </c>
      <c r="L8" s="23" t="s">
        <v>13</v>
      </c>
      <c r="M8" s="22" t="s">
        <v>12</v>
      </c>
      <c r="N8" s="11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x14ac:dyDescent="0.25">
      <c r="A9" s="26" t="s">
        <v>14</v>
      </c>
      <c r="B9" s="27">
        <v>7</v>
      </c>
      <c r="C9" s="28"/>
      <c r="D9" s="29">
        <v>2</v>
      </c>
      <c r="E9" s="30">
        <v>3</v>
      </c>
      <c r="F9" s="31">
        <v>2</v>
      </c>
      <c r="G9" s="32">
        <v>1</v>
      </c>
      <c r="H9" s="33" t="s">
        <v>15</v>
      </c>
      <c r="I9" s="34" t="s">
        <v>16</v>
      </c>
      <c r="J9" s="35" t="s">
        <v>17</v>
      </c>
      <c r="K9" s="36">
        <f>SUM(B9,D9,E9,F9,G9+2)</f>
        <v>17</v>
      </c>
      <c r="L9" s="37"/>
      <c r="M9" s="38">
        <f>SUM(K8:L9)</f>
        <v>17</v>
      </c>
      <c r="N9" s="39"/>
      <c r="O9" s="24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x14ac:dyDescent="0.25">
      <c r="A10" s="41" t="s">
        <v>18</v>
      </c>
      <c r="B10" s="42">
        <v>6.88</v>
      </c>
      <c r="C10" s="43"/>
      <c r="D10" s="44"/>
      <c r="E10" s="45">
        <v>3.64</v>
      </c>
      <c r="F10" s="46"/>
      <c r="G10" s="47"/>
      <c r="H10" s="48"/>
      <c r="I10" s="49"/>
      <c r="J10" s="50"/>
      <c r="K10" s="51">
        <f>SUM(B10:F10)</f>
        <v>10.52</v>
      </c>
      <c r="L10" s="52"/>
      <c r="M10" s="53">
        <f>SUM(K10)</f>
        <v>10.52</v>
      </c>
      <c r="N10" s="39"/>
      <c r="O10" s="2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41" t="s">
        <v>19</v>
      </c>
      <c r="B11" s="54">
        <f>SUM('[1]Kiadás részletezés 2019'!AJ189)-'[1]Finanszírozás2019-támogatás nél'!B12:C12</f>
        <v>20344464</v>
      </c>
      <c r="C11" s="55"/>
      <c r="D11" s="56">
        <f>SUM('[1]Kiadás részletezés 2019'!AL189)-D12</f>
        <v>5430676.666666666</v>
      </c>
      <c r="E11" s="57">
        <f>SUM('[1]Kiadás részletezés 2019'!AN189)-E12</f>
        <v>5256426.6666666679</v>
      </c>
      <c r="F11" s="58">
        <f>SUM('[1]Kiadás részletezés 2019'!AM189)-F12</f>
        <v>6402591.666666667</v>
      </c>
      <c r="G11" s="59">
        <f>SUM('[1]Kiadás részletezés 2019'!AP189)</f>
        <v>3801415</v>
      </c>
      <c r="H11" s="57">
        <f>SUM('[1]Bérek 2019'!AL9)</f>
        <v>5799003</v>
      </c>
      <c r="I11" s="10">
        <f>SUM('[1]Bérek 2019'!AL30)</f>
        <v>4225930</v>
      </c>
      <c r="J11" s="58">
        <f>SUM(H11:I11)</f>
        <v>10024933</v>
      </c>
      <c r="K11" s="60">
        <f>SUM(B11:I12)</f>
        <v>55492839</v>
      </c>
      <c r="L11" s="61">
        <f>SUM('[1]Béremelés hatása 2019-2'!U42)</f>
        <v>7090821.375</v>
      </c>
      <c r="M11" s="62">
        <f>SUM(K11:L12)</f>
        <v>62583660.375</v>
      </c>
      <c r="N11" s="11"/>
      <c r="O11" s="63"/>
      <c r="P11" s="11"/>
      <c r="Q11" s="11"/>
      <c r="R11" s="11"/>
      <c r="S11" s="5"/>
      <c r="T11" s="11"/>
      <c r="U11" s="11"/>
      <c r="V11" s="5"/>
      <c r="W11" s="11"/>
      <c r="X11" s="11"/>
      <c r="Y11" s="5"/>
    </row>
    <row r="12" spans="1:25" s="75" customFormat="1" x14ac:dyDescent="0.25">
      <c r="A12" s="64" t="s">
        <v>20</v>
      </c>
      <c r="B12" s="54">
        <f>SUM('[1]Bérek 2019'!AL26)</f>
        <v>253705</v>
      </c>
      <c r="C12" s="55"/>
      <c r="D12" s="65">
        <f>SUM('[1]Bérek 2019'!AL42)</f>
        <v>689000</v>
      </c>
      <c r="E12" s="66">
        <f>SUM('[1]Bérek 2019'!AL70)</f>
        <v>3289627</v>
      </c>
      <c r="F12" s="67"/>
      <c r="G12" s="68"/>
      <c r="H12" s="66"/>
      <c r="I12" s="69"/>
      <c r="J12" s="67"/>
      <c r="K12" s="70"/>
      <c r="L12" s="71"/>
      <c r="M12" s="72"/>
      <c r="N12" s="73"/>
      <c r="O12" s="63"/>
      <c r="P12" s="73"/>
      <c r="Q12" s="73"/>
      <c r="R12" s="73"/>
      <c r="S12" s="74"/>
      <c r="T12" s="73"/>
      <c r="U12" s="73"/>
      <c r="V12" s="74"/>
      <c r="W12" s="73"/>
      <c r="X12" s="73"/>
      <c r="Y12" s="74"/>
    </row>
    <row r="13" spans="1:25" x14ac:dyDescent="0.25">
      <c r="A13" s="41" t="s">
        <v>21</v>
      </c>
      <c r="B13" s="54">
        <f>SUM('[1]Kiadás részletezés 2019'!AJ190)-C14</f>
        <v>4074187.0800000005</v>
      </c>
      <c r="C13" s="55"/>
      <c r="D13" s="56">
        <f>SUM('[1]Kiadás részletezés 2019'!AL190)-D14</f>
        <v>1097486.0499999998</v>
      </c>
      <c r="E13" s="57">
        <f>SUM('[1]Kiadás részletezés 2019'!AN190)-E14</f>
        <v>1068406.2999999998</v>
      </c>
      <c r="F13" s="58">
        <f>SUM('[1]Kiadás részletezés 2019'!AM190)-F14</f>
        <v>1239321.175</v>
      </c>
      <c r="G13" s="76">
        <f>SUM('[1]Kiadás részletezés 2019'!AP190)</f>
        <v>721574.86499999999</v>
      </c>
      <c r="H13" s="57">
        <f>SUM('[1]Bérek 2019'!AM9)</f>
        <v>1153109.385</v>
      </c>
      <c r="I13" s="10">
        <f>SUM('[1]Bérek 2019'!AM30)</f>
        <v>846360.15</v>
      </c>
      <c r="J13" s="58">
        <f>SUM(H13:I13)</f>
        <v>1999469.5350000001</v>
      </c>
      <c r="K13" s="60">
        <f>SUM((B13:I14))</f>
        <v>11043485.775</v>
      </c>
      <c r="L13" s="61">
        <f>SUM('[1]Béremelés hatása 2019-2'!V43)</f>
        <v>1382710.1681250001</v>
      </c>
      <c r="M13" s="62">
        <f>SUM(K13:L14)</f>
        <v>12426195.943125</v>
      </c>
      <c r="N13" s="11"/>
      <c r="O13" s="63"/>
      <c r="P13" s="11"/>
      <c r="Q13" s="11"/>
      <c r="R13" s="11"/>
      <c r="S13" s="5"/>
      <c r="T13" s="11"/>
      <c r="U13" s="11"/>
      <c r="V13" s="5"/>
      <c r="W13" s="11"/>
      <c r="X13" s="11"/>
      <c r="Y13" s="5"/>
    </row>
    <row r="14" spans="1:25" s="75" customFormat="1" ht="12.75" x14ac:dyDescent="0.2">
      <c r="A14" s="64" t="s">
        <v>20</v>
      </c>
      <c r="B14" s="77"/>
      <c r="C14" s="78">
        <f>SUM('[1]Bérek 2019'!AM26)</f>
        <v>49472.474999999999</v>
      </c>
      <c r="D14" s="65">
        <f>SUM('[1]Bérek 2019'!AM42)</f>
        <v>134355</v>
      </c>
      <c r="E14" s="66">
        <f>SUM('[1]Bérek 2019'!AM70)</f>
        <v>659213.29500000004</v>
      </c>
      <c r="F14" s="67"/>
      <c r="H14" s="79"/>
      <c r="I14" s="69"/>
      <c r="J14" s="67"/>
      <c r="K14" s="70"/>
      <c r="L14" s="71"/>
      <c r="M14" s="72"/>
      <c r="N14" s="73"/>
      <c r="O14" s="63"/>
      <c r="P14" s="73"/>
      <c r="Q14" s="73"/>
      <c r="R14" s="73"/>
      <c r="S14" s="74"/>
      <c r="T14" s="73"/>
      <c r="U14" s="73"/>
      <c r="V14" s="74"/>
      <c r="W14" s="73"/>
      <c r="X14" s="73"/>
      <c r="Y14" s="74"/>
    </row>
    <row r="15" spans="1:25" x14ac:dyDescent="0.25">
      <c r="A15" s="41" t="s">
        <v>22</v>
      </c>
      <c r="B15" s="54">
        <f>SUM('[1]Kiadás részletezés 2019'!AJ191)</f>
        <v>7813800</v>
      </c>
      <c r="C15" s="55"/>
      <c r="D15" s="56">
        <f>SUM('[1]Kiadás részletezés 2019'!AL191)</f>
        <v>2228560</v>
      </c>
      <c r="E15" s="57">
        <f>SUM('[1]Kiadás részletezés 2019'!AN191)</f>
        <v>1997390</v>
      </c>
      <c r="F15" s="58">
        <f>SUM('[1]Kiadás részletezés 2019'!AM191)</f>
        <v>1039090</v>
      </c>
      <c r="G15" s="80">
        <f>SUM('[1]Kiadás részletezés 2019'!AP191)</f>
        <v>167010</v>
      </c>
      <c r="H15" s="81"/>
      <c r="I15" s="10"/>
      <c r="J15" s="58">
        <f>(SUM('[1]Kiadás részletezés 2019'!AO191))</f>
        <v>813200</v>
      </c>
      <c r="K15" s="82">
        <f>SUM((B15:J15))</f>
        <v>14059050</v>
      </c>
      <c r="L15" s="83"/>
      <c r="M15" s="84">
        <f t="shared" ref="M15:M27" si="0">SUM(K15:L15)</f>
        <v>14059050</v>
      </c>
      <c r="N15" s="11"/>
      <c r="O15" s="63"/>
      <c r="P15" s="11"/>
      <c r="Q15" s="11"/>
      <c r="R15" s="11"/>
      <c r="S15" s="5"/>
      <c r="T15" s="11"/>
      <c r="U15" s="11"/>
      <c r="V15" s="5"/>
      <c r="W15" s="11"/>
      <c r="X15" s="11"/>
      <c r="Y15" s="5"/>
    </row>
    <row r="16" spans="1:25" x14ac:dyDescent="0.25">
      <c r="A16" s="41" t="s">
        <v>23</v>
      </c>
      <c r="B16" s="54">
        <f>SUM('[1]Kiadás részletezés 2019'!AJ192)</f>
        <v>63500</v>
      </c>
      <c r="C16" s="55"/>
      <c r="D16" s="56">
        <f>SUM('[1]Kiadás részletezés 2019'!AL192)</f>
        <v>23500</v>
      </c>
      <c r="F16" s="50"/>
      <c r="G16" s="80">
        <f>SUM('[1]Kiadás részletezés 2019'!AP192)</f>
        <v>0</v>
      </c>
      <c r="H16" s="85"/>
      <c r="I16" s="10"/>
      <c r="J16" s="58">
        <f>(SUM('[1]Kiadás részletezés 2019'!AO192))</f>
        <v>0</v>
      </c>
      <c r="K16" s="82">
        <f>SUM((B16:J16))</f>
        <v>87000</v>
      </c>
      <c r="L16" s="83"/>
      <c r="M16" s="84">
        <f t="shared" si="0"/>
        <v>87000</v>
      </c>
      <c r="N16" s="11"/>
      <c r="O16" s="63"/>
      <c r="P16" s="11"/>
      <c r="Q16" s="11"/>
      <c r="R16" s="11"/>
      <c r="S16" s="5"/>
      <c r="T16" s="11"/>
      <c r="U16" s="11"/>
      <c r="V16" s="5"/>
      <c r="W16" s="11"/>
      <c r="X16" s="11"/>
      <c r="Y16" s="5"/>
    </row>
    <row r="17" spans="1:25" x14ac:dyDescent="0.25">
      <c r="A17" s="64" t="s">
        <v>20</v>
      </c>
      <c r="B17" s="86"/>
      <c r="C17" s="48"/>
      <c r="D17" s="56"/>
      <c r="E17" s="57">
        <f>SUM('[1]Kiadás részletezés 2019'!AN192)</f>
        <v>63500</v>
      </c>
      <c r="F17" s="58">
        <f>SUM('[1]Kiadás részletezés 2019'!AM192)</f>
        <v>264800</v>
      </c>
      <c r="G17" s="80"/>
      <c r="H17" s="87"/>
      <c r="I17" s="10"/>
      <c r="J17" s="58"/>
      <c r="K17" s="82">
        <f>SUM(E17:F17)</f>
        <v>328300</v>
      </c>
      <c r="L17" s="83"/>
      <c r="M17" s="84">
        <f t="shared" si="0"/>
        <v>328300</v>
      </c>
      <c r="N17" s="11"/>
      <c r="O17" s="63"/>
      <c r="P17" s="11"/>
      <c r="Q17" s="11"/>
      <c r="R17" s="11"/>
      <c r="S17" s="5"/>
      <c r="T17" s="11"/>
      <c r="U17" s="11"/>
      <c r="V17" s="5"/>
      <c r="W17" s="11"/>
      <c r="X17" s="11"/>
      <c r="Y17" s="5"/>
    </row>
    <row r="18" spans="1:25" x14ac:dyDescent="0.25">
      <c r="A18" s="41" t="s">
        <v>24</v>
      </c>
      <c r="B18" s="88">
        <f>SUM(B11:C16)</f>
        <v>32599128.555000003</v>
      </c>
      <c r="C18" s="55"/>
      <c r="D18" s="89">
        <f>SUM(D11:D16)</f>
        <v>9603577.7166666649</v>
      </c>
      <c r="E18" s="90">
        <f>SUM(E11:E17)</f>
        <v>12334563.261666669</v>
      </c>
      <c r="F18" s="91">
        <f>SUM(F11:F17)</f>
        <v>8945802.8416666668</v>
      </c>
      <c r="G18" s="92">
        <f>SUM(G11:G16)</f>
        <v>4689999.8650000002</v>
      </c>
      <c r="H18" s="90">
        <f>SUM(H11:H16)</f>
        <v>6952112.3849999998</v>
      </c>
      <c r="I18" s="93">
        <f>SUM(I11:I16)</f>
        <v>5072290.1500000004</v>
      </c>
      <c r="J18" s="91">
        <f>SUM(J11:J16)</f>
        <v>12837602.535</v>
      </c>
      <c r="K18" s="82">
        <f>SUM((B18:G18))+J18</f>
        <v>81010674.775000006</v>
      </c>
      <c r="L18" s="94">
        <f>SUM(L11:L14)</f>
        <v>8473531.5431249999</v>
      </c>
      <c r="M18" s="84">
        <f t="shared" si="0"/>
        <v>89484206.31812501</v>
      </c>
      <c r="N18" s="11"/>
      <c r="O18" s="63"/>
      <c r="P18" s="11"/>
      <c r="Q18" s="11"/>
      <c r="R18" s="11"/>
      <c r="S18" s="5"/>
      <c r="T18" s="11"/>
      <c r="U18" s="11"/>
      <c r="V18" s="5"/>
      <c r="W18" s="11"/>
      <c r="X18" s="11"/>
      <c r="Y18" s="5"/>
    </row>
    <row r="19" spans="1:25" s="103" customFormat="1" ht="25.5" x14ac:dyDescent="0.2">
      <c r="A19" s="95" t="s">
        <v>25</v>
      </c>
      <c r="B19" s="96"/>
      <c r="C19" s="97">
        <f>SUM(B11,B13,B15:C16,)</f>
        <v>32295951.080000002</v>
      </c>
      <c r="D19" s="98">
        <f>SUM(D11,D13,D15:D16,)</f>
        <v>8780222.7166666649</v>
      </c>
      <c r="E19" s="97">
        <f>SUM(E11,E13,E15:E16,)</f>
        <v>8322222.9666666677</v>
      </c>
      <c r="F19" s="99">
        <f>SUM(F11,F13,F15,)</f>
        <v>8681002.8416666668</v>
      </c>
      <c r="G19" s="99"/>
      <c r="H19" s="97">
        <f>SUM(H11,H13,H15,)</f>
        <v>6952112.3849999998</v>
      </c>
      <c r="I19" s="97">
        <f>SUM(I11,I13,I15,)</f>
        <v>5072290.1500000004</v>
      </c>
      <c r="J19" s="99">
        <f>SUM(J11,J13,J15,)</f>
        <v>12837602.535</v>
      </c>
      <c r="K19" s="82">
        <f>SUM((B19:I19))</f>
        <v>70103802.140000001</v>
      </c>
      <c r="L19" s="100"/>
      <c r="M19" s="84">
        <f t="shared" si="0"/>
        <v>70103802.140000001</v>
      </c>
      <c r="N19" s="101"/>
      <c r="O19" s="63"/>
      <c r="P19" s="101"/>
      <c r="Q19" s="101"/>
      <c r="R19" s="101"/>
      <c r="S19" s="102"/>
      <c r="T19" s="101"/>
      <c r="U19" s="101"/>
      <c r="V19" s="102"/>
      <c r="W19" s="101"/>
      <c r="X19" s="101"/>
      <c r="Y19" s="102"/>
    </row>
    <row r="20" spans="1:25" ht="30" x14ac:dyDescent="0.25">
      <c r="A20" s="104" t="s">
        <v>26</v>
      </c>
      <c r="B20" s="54">
        <f>B18/B9</f>
        <v>4657018.3650000002</v>
      </c>
      <c r="C20" s="55"/>
      <c r="D20" s="56">
        <f>D18/D9</f>
        <v>4801788.8583333325</v>
      </c>
      <c r="E20" s="57">
        <f>E18/E9</f>
        <v>4111521.0872222227</v>
      </c>
      <c r="F20" s="58">
        <f>F18/F9</f>
        <v>4472901.4208333334</v>
      </c>
      <c r="G20" s="80">
        <f>G18/G9</f>
        <v>4689999.8650000002</v>
      </c>
      <c r="H20" s="105"/>
      <c r="I20" s="106"/>
      <c r="J20" s="107"/>
      <c r="K20" s="82">
        <f>K18/K9</f>
        <v>4765333.8102941178</v>
      </c>
      <c r="L20" s="108"/>
      <c r="M20" s="109">
        <f t="shared" si="0"/>
        <v>4765333.8102941178</v>
      </c>
      <c r="N20" s="11"/>
      <c r="O20" s="63"/>
      <c r="P20" s="11"/>
      <c r="Q20" s="11"/>
      <c r="R20" s="11"/>
      <c r="S20" s="5"/>
      <c r="T20" s="11"/>
      <c r="U20" s="11"/>
      <c r="V20" s="5"/>
      <c r="W20" s="11"/>
      <c r="X20" s="11"/>
      <c r="Y20" s="5"/>
    </row>
    <row r="21" spans="1:25" ht="30.75" thickBot="1" x14ac:dyDescent="0.3">
      <c r="A21" s="110" t="s">
        <v>27</v>
      </c>
      <c r="B21" s="111">
        <f>B23/B10</f>
        <v>5970374.0983527135</v>
      </c>
      <c r="C21" s="112"/>
      <c r="D21" s="113"/>
      <c r="E21" s="114">
        <f>E23/E10</f>
        <v>4671215.881410256</v>
      </c>
      <c r="F21" s="115"/>
      <c r="G21" s="116"/>
      <c r="H21" s="117"/>
      <c r="I21" s="118"/>
      <c r="J21" s="119"/>
      <c r="K21" s="120">
        <f>K23/K10</f>
        <v>5966672.9534220537</v>
      </c>
      <c r="L21" s="121"/>
      <c r="M21" s="122">
        <f t="shared" si="0"/>
        <v>5966672.9534220537</v>
      </c>
      <c r="N21" s="11"/>
      <c r="O21" s="63"/>
      <c r="P21" s="11"/>
      <c r="Q21" s="11"/>
      <c r="R21" s="11"/>
      <c r="S21" s="5"/>
      <c r="T21" s="11"/>
      <c r="U21" s="11"/>
      <c r="V21" s="5"/>
      <c r="W21" s="11"/>
      <c r="X21" s="11"/>
      <c r="Y21" s="5"/>
    </row>
    <row r="22" spans="1:25" x14ac:dyDescent="0.25">
      <c r="A22" s="123" t="s">
        <v>28</v>
      </c>
      <c r="B22" s="124"/>
      <c r="C22" s="125"/>
      <c r="D22" s="126">
        <f>SUM(B18,D18)</f>
        <v>42202706.271666668</v>
      </c>
      <c r="E22" s="127"/>
      <c r="F22" s="128">
        <f>SUM(E18,F18)</f>
        <v>21280366.103333335</v>
      </c>
      <c r="G22" s="129">
        <f>SUM(G18)</f>
        <v>4689999.8650000002</v>
      </c>
      <c r="H22" s="117"/>
      <c r="I22" s="118"/>
      <c r="J22" s="130"/>
      <c r="K22" s="131">
        <f>SUM((B22:I22))+J23</f>
        <v>81010674.774999991</v>
      </c>
      <c r="L22" s="132">
        <f>SUM(L11,L13)</f>
        <v>8473531.5431249999</v>
      </c>
      <c r="M22" s="131">
        <f t="shared" si="0"/>
        <v>89484206.318124995</v>
      </c>
      <c r="N22" s="11"/>
      <c r="O22" s="63"/>
      <c r="P22" s="11"/>
      <c r="Q22" s="11"/>
      <c r="R22" s="11"/>
      <c r="S22" s="5"/>
      <c r="T22" s="11"/>
      <c r="U22" s="11"/>
      <c r="V22" s="5"/>
      <c r="W22" s="11"/>
      <c r="X22" s="11"/>
      <c r="Y22" s="5"/>
    </row>
    <row r="23" spans="1:25" s="103" customFormat="1" ht="12.75" x14ac:dyDescent="0.2">
      <c r="A23" s="123" t="s">
        <v>29</v>
      </c>
      <c r="B23" s="133">
        <f>SUM(C19,D19)</f>
        <v>41076173.796666667</v>
      </c>
      <c r="C23" s="134"/>
      <c r="D23" s="135"/>
      <c r="E23" s="136">
        <f>SUM(E19,F19)</f>
        <v>17003225.808333334</v>
      </c>
      <c r="F23" s="137"/>
      <c r="G23" s="129">
        <f>SUM(G18)</f>
        <v>4689999.8650000002</v>
      </c>
      <c r="H23" s="117"/>
      <c r="I23" s="118"/>
      <c r="J23" s="138">
        <f>SUM(J19)</f>
        <v>12837602.535</v>
      </c>
      <c r="K23" s="139">
        <f>SUM((B23:I23))</f>
        <v>62769399.470000006</v>
      </c>
      <c r="L23" s="140"/>
      <c r="M23" s="84">
        <f t="shared" si="0"/>
        <v>62769399.470000006</v>
      </c>
      <c r="N23" s="101"/>
      <c r="O23" s="63"/>
      <c r="P23" s="101"/>
      <c r="Q23" s="101"/>
      <c r="R23" s="101"/>
      <c r="S23" s="102"/>
      <c r="T23" s="101"/>
      <c r="U23" s="101"/>
      <c r="V23" s="102"/>
      <c r="W23" s="101"/>
      <c r="X23" s="101"/>
      <c r="Y23" s="102"/>
    </row>
    <row r="24" spans="1:25" x14ac:dyDescent="0.25">
      <c r="A24" s="41" t="s">
        <v>30</v>
      </c>
      <c r="B24" s="141">
        <f>SUM(H7*B10)</f>
        <v>31510400</v>
      </c>
      <c r="C24" s="142"/>
      <c r="D24" s="143"/>
      <c r="E24" s="142">
        <f>SUM(H7*E10)</f>
        <v>16671200</v>
      </c>
      <c r="F24" s="144"/>
      <c r="G24" s="145">
        <f>SUM(D7*G10)</f>
        <v>0</v>
      </c>
      <c r="H24" s="117"/>
      <c r="I24" s="118"/>
      <c r="J24" s="146"/>
      <c r="K24" s="84">
        <f>SUM(H7*K10)</f>
        <v>48181600</v>
      </c>
      <c r="L24" s="147">
        <v>8416000</v>
      </c>
      <c r="M24" s="139">
        <f t="shared" si="0"/>
        <v>56597600</v>
      </c>
      <c r="N24" s="11"/>
      <c r="O24" s="63"/>
      <c r="P24" s="11"/>
      <c r="Q24" s="11"/>
      <c r="R24" s="11"/>
      <c r="S24" s="5"/>
      <c r="T24" s="11"/>
      <c r="U24" s="11"/>
      <c r="V24" s="5"/>
      <c r="W24" s="11"/>
      <c r="X24" s="11"/>
      <c r="Y24" s="5"/>
    </row>
    <row r="25" spans="1:25" x14ac:dyDescent="0.25">
      <c r="A25" s="41" t="s">
        <v>31</v>
      </c>
      <c r="B25" s="148"/>
      <c r="C25" s="149"/>
      <c r="D25" s="150"/>
      <c r="E25" s="151"/>
      <c r="F25" s="152"/>
      <c r="G25" s="153"/>
      <c r="H25" s="117"/>
      <c r="I25" s="118"/>
      <c r="J25" s="154"/>
      <c r="K25" s="84">
        <f>SUM((B25:I25))</f>
        <v>0</v>
      </c>
      <c r="L25" s="155"/>
      <c r="M25" s="139">
        <f t="shared" si="0"/>
        <v>0</v>
      </c>
      <c r="N25" s="11"/>
      <c r="O25" s="63"/>
      <c r="P25" s="11"/>
      <c r="Q25" s="11"/>
      <c r="R25" s="11"/>
      <c r="S25" s="5"/>
      <c r="T25" s="11"/>
      <c r="U25" s="11"/>
      <c r="V25" s="5"/>
      <c r="W25" s="11"/>
      <c r="X25" s="11"/>
      <c r="Y25" s="5"/>
    </row>
    <row r="26" spans="1:25" ht="15.75" thickBot="1" x14ac:dyDescent="0.3">
      <c r="A26" s="156" t="s">
        <v>32</v>
      </c>
      <c r="B26" s="157"/>
      <c r="C26" s="158"/>
      <c r="D26" s="159"/>
      <c r="E26" s="160"/>
      <c r="F26" s="161"/>
      <c r="G26" s="162">
        <f>SUM(G23)</f>
        <v>4689999.8650000002</v>
      </c>
      <c r="H26" s="117"/>
      <c r="I26" s="118"/>
      <c r="J26" s="163"/>
      <c r="K26" s="122">
        <f>SUM((B26:I26))</f>
        <v>4689999.8650000002</v>
      </c>
      <c r="L26" s="164"/>
      <c r="M26" s="122">
        <f t="shared" si="0"/>
        <v>4689999.8650000002</v>
      </c>
      <c r="N26" s="11"/>
      <c r="O26" s="63"/>
      <c r="P26" s="11"/>
      <c r="Q26" s="11"/>
      <c r="R26" s="11"/>
      <c r="S26" s="5"/>
      <c r="T26" s="11"/>
      <c r="U26" s="11"/>
      <c r="V26" s="5"/>
      <c r="W26" s="11"/>
      <c r="X26" s="11"/>
      <c r="Y26" s="5"/>
    </row>
    <row r="27" spans="1:25" s="103" customFormat="1" ht="26.25" thickBot="1" x14ac:dyDescent="0.25">
      <c r="A27" s="165" t="s">
        <v>33</v>
      </c>
      <c r="B27" s="166">
        <f>B23-B24</f>
        <v>9565773.7966666669</v>
      </c>
      <c r="C27" s="167"/>
      <c r="D27" s="168"/>
      <c r="E27" s="169">
        <f>E23-E24</f>
        <v>332025.80833333358</v>
      </c>
      <c r="F27" s="170"/>
      <c r="G27" s="171">
        <f>SUM(G23-G24)</f>
        <v>4689999.8650000002</v>
      </c>
      <c r="H27" s="172"/>
      <c r="I27" s="173"/>
      <c r="J27" s="174">
        <f>SUM(J23-J24)</f>
        <v>12837602.535</v>
      </c>
      <c r="K27" s="175">
        <f>SUM(B27+D28+E27+F28+J27)+(E17+F17)-K25</f>
        <v>28139074.91</v>
      </c>
      <c r="L27" s="176">
        <v>57532</v>
      </c>
      <c r="M27" s="177">
        <f t="shared" si="0"/>
        <v>28196606.91</v>
      </c>
      <c r="O27" s="178"/>
      <c r="P27" s="101"/>
      <c r="Q27" s="101"/>
      <c r="R27" s="101"/>
      <c r="S27" s="102"/>
      <c r="T27" s="101"/>
      <c r="U27" s="101"/>
      <c r="V27" s="102"/>
      <c r="W27" s="101"/>
      <c r="X27" s="101"/>
      <c r="Y27" s="102"/>
    </row>
    <row r="28" spans="1:25" ht="30" hidden="1" x14ac:dyDescent="0.25">
      <c r="A28" s="179" t="s">
        <v>34</v>
      </c>
      <c r="B28" s="180"/>
      <c r="C28" s="181"/>
      <c r="D28" s="182">
        <f>SUM('[1]Bérek 2019'!AN26)+'[1]Bérek 2019'!AN42</f>
        <v>1126532.4750000001</v>
      </c>
      <c r="E28" s="183"/>
      <c r="F28" s="182">
        <f>SUM('[1]Bérek 2019'!AN70)</f>
        <v>3948840.2949999999</v>
      </c>
      <c r="J28" s="4">
        <f>J4-K23</f>
        <v>17825975.305</v>
      </c>
      <c r="N28" s="101">
        <v>23915728</v>
      </c>
      <c r="O28" s="5"/>
      <c r="P28" s="2"/>
      <c r="Q28" s="2"/>
      <c r="R28" s="2"/>
      <c r="S28" s="5"/>
      <c r="T28" s="2"/>
      <c r="U28" s="2"/>
      <c r="V28" s="5"/>
      <c r="W28" s="2"/>
      <c r="X28" s="2"/>
      <c r="Y28" s="5"/>
    </row>
    <row r="29" spans="1:25" ht="15.75" thickBot="1" x14ac:dyDescent="0.3">
      <c r="J29" s="4">
        <f>SUM(K24:K27)</f>
        <v>81010674.775000006</v>
      </c>
      <c r="K29" s="184">
        <f>K23-K27</f>
        <v>34630324.560000002</v>
      </c>
      <c r="N29" s="2"/>
      <c r="O29" s="5"/>
      <c r="P29" s="5"/>
      <c r="Q29" s="5"/>
    </row>
    <row r="30" spans="1:25" ht="51" x14ac:dyDescent="0.25">
      <c r="A30" s="185" t="s">
        <v>35</v>
      </c>
      <c r="B30" s="186" t="s">
        <v>36</v>
      </c>
      <c r="C30" s="187" t="s">
        <v>37</v>
      </c>
      <c r="D30" s="188"/>
      <c r="E30" s="187" t="s">
        <v>38</v>
      </c>
      <c r="F30" s="188"/>
      <c r="G30" s="189" t="s">
        <v>10</v>
      </c>
      <c r="H30" s="190"/>
      <c r="I30" s="191"/>
      <c r="J30" s="192" t="s">
        <v>39</v>
      </c>
      <c r="K30" s="193" t="s">
        <v>40</v>
      </c>
      <c r="L30" s="194" t="s">
        <v>41</v>
      </c>
      <c r="M30" s="195" t="s">
        <v>42</v>
      </c>
      <c r="N30" s="196" t="s">
        <v>43</v>
      </c>
      <c r="O30" s="197" t="s">
        <v>44</v>
      </c>
      <c r="P30" s="198" t="s">
        <v>45</v>
      </c>
      <c r="Q30" s="196" t="s">
        <v>46</v>
      </c>
      <c r="R30" s="199" t="s">
        <v>47</v>
      </c>
      <c r="S30" s="199" t="s">
        <v>48</v>
      </c>
    </row>
    <row r="31" spans="1:25" x14ac:dyDescent="0.25">
      <c r="A31" s="49" t="s">
        <v>49</v>
      </c>
      <c r="B31" s="200">
        <v>425</v>
      </c>
      <c r="C31" s="201">
        <f>B27/B35*B31</f>
        <v>1987025.3487699577</v>
      </c>
      <c r="D31" s="55"/>
      <c r="E31" s="202"/>
      <c r="F31" s="203"/>
      <c r="G31" s="204"/>
      <c r="H31" s="205"/>
      <c r="I31" s="118"/>
      <c r="J31" s="206">
        <f>J23/B42*B31</f>
        <v>1599056.5877417936</v>
      </c>
      <c r="K31" s="207">
        <f>SUM(C31:J31)+(L27/6)</f>
        <v>3595670.6031784178</v>
      </c>
      <c r="L31" s="208">
        <f>K31/12</f>
        <v>299639.21693153481</v>
      </c>
      <c r="M31" s="209">
        <v>1810626</v>
      </c>
      <c r="N31" s="210">
        <v>2019218</v>
      </c>
      <c r="O31" s="206">
        <v>2476300</v>
      </c>
      <c r="P31" s="211">
        <v>2909822</v>
      </c>
      <c r="Q31" s="210">
        <v>3004854</v>
      </c>
      <c r="R31" s="211">
        <v>3194778</v>
      </c>
      <c r="S31" s="211">
        <f>K31-R31</f>
        <v>400892.60317841778</v>
      </c>
    </row>
    <row r="32" spans="1:25" x14ac:dyDescent="0.25">
      <c r="A32" s="49" t="s">
        <v>50</v>
      </c>
      <c r="B32" s="200">
        <v>331</v>
      </c>
      <c r="C32" s="212">
        <f>B27/B35*B32</f>
        <v>1547542.0951596613</v>
      </c>
      <c r="D32" s="213"/>
      <c r="E32" s="214"/>
      <c r="F32" s="215"/>
      <c r="G32" s="204"/>
      <c r="H32" s="205"/>
      <c r="I32" s="118"/>
      <c r="J32" s="206">
        <f>J23/B42*B32</f>
        <v>1245382.895394197</v>
      </c>
      <c r="K32" s="207">
        <f>SUM(C32:J32)+(L27/6)</f>
        <v>2802513.6572205247</v>
      </c>
      <c r="L32" s="208">
        <f>K32/12</f>
        <v>233542.80476837707</v>
      </c>
      <c r="M32" s="209">
        <v>1250194</v>
      </c>
      <c r="N32" s="210">
        <v>1462038</v>
      </c>
      <c r="O32" s="206">
        <v>1813141</v>
      </c>
      <c r="P32" s="211">
        <v>2194012</v>
      </c>
      <c r="Q32" s="210">
        <v>2286823</v>
      </c>
      <c r="R32" s="211">
        <v>2487310</v>
      </c>
      <c r="S32" s="211">
        <f>K32-R32</f>
        <v>315203.65722052474</v>
      </c>
    </row>
    <row r="33" spans="1:20" x14ac:dyDescent="0.25">
      <c r="A33" s="49" t="s">
        <v>51</v>
      </c>
      <c r="B33" s="200">
        <v>627</v>
      </c>
      <c r="C33" s="212">
        <f>B27/B35*B33</f>
        <v>2931446.8086559139</v>
      </c>
      <c r="D33" s="213"/>
      <c r="E33" s="214"/>
      <c r="F33" s="215"/>
      <c r="G33" s="204"/>
      <c r="H33" s="205"/>
      <c r="I33" s="118"/>
      <c r="J33" s="206">
        <f>J23/B42*B33</f>
        <v>2359078.7776802462</v>
      </c>
      <c r="K33" s="207">
        <f>SUM(C33:J33)+'[1]Bérek 2019'!AN26+(L27/6)</f>
        <v>5603291.7280028267</v>
      </c>
      <c r="L33" s="208">
        <f>K33/12</f>
        <v>466940.97733356891</v>
      </c>
      <c r="M33" s="209">
        <v>2484713</v>
      </c>
      <c r="N33" s="210">
        <v>2776981</v>
      </c>
      <c r="O33" s="206">
        <v>3346696</v>
      </c>
      <c r="P33" s="211">
        <v>3893281</v>
      </c>
      <c r="Q33" s="210">
        <v>4030613</v>
      </c>
      <c r="R33" s="211">
        <v>4964530</v>
      </c>
      <c r="S33" s="211">
        <f>K33-R33</f>
        <v>638761.72800282668</v>
      </c>
    </row>
    <row r="34" spans="1:20" x14ac:dyDescent="0.25">
      <c r="A34" s="216" t="s">
        <v>52</v>
      </c>
      <c r="B34" s="200">
        <v>663</v>
      </c>
      <c r="C34" s="212">
        <f>B27/B35*B34</f>
        <v>3099759.5440811343</v>
      </c>
      <c r="D34" s="213"/>
      <c r="E34" s="214"/>
      <c r="F34" s="215"/>
      <c r="G34" s="204"/>
      <c r="H34" s="205"/>
      <c r="I34" s="118"/>
      <c r="J34" s="206">
        <f>J23/B42*B34</f>
        <v>2494528.2768771979</v>
      </c>
      <c r="K34" s="207">
        <f>SUM(C34:J34)+'[1]Bérek 2019'!AN42+(L27/6)</f>
        <v>6427231.4876249991</v>
      </c>
      <c r="L34" s="208">
        <f>K34/12</f>
        <v>535602.62396874989</v>
      </c>
      <c r="M34" s="209">
        <v>2668910</v>
      </c>
      <c r="N34" s="210">
        <v>2897332</v>
      </c>
      <c r="O34" s="206">
        <v>4503388</v>
      </c>
      <c r="P34" s="211">
        <v>5164658</v>
      </c>
      <c r="Q34" s="210">
        <v>5899177</v>
      </c>
      <c r="R34" s="217">
        <v>6206519</v>
      </c>
      <c r="S34" s="211">
        <f t="shared" ref="S34" si="1">K34-R34</f>
        <v>220712.48762499914</v>
      </c>
    </row>
    <row r="35" spans="1:20" hidden="1" x14ac:dyDescent="0.25">
      <c r="A35" s="218" t="s">
        <v>53</v>
      </c>
      <c r="B35" s="219">
        <f>SUM(B31:B34)</f>
        <v>2046</v>
      </c>
      <c r="C35" s="220">
        <f>SUM(C31:D34)</f>
        <v>9565773.7966666669</v>
      </c>
      <c r="D35" s="221"/>
      <c r="E35" s="214"/>
      <c r="F35" s="215"/>
      <c r="G35" s="204"/>
      <c r="H35" s="205"/>
      <c r="I35" s="118"/>
      <c r="J35" s="222">
        <f>SUM(J31:J34)</f>
        <v>7698046.5376934353</v>
      </c>
      <c r="K35" s="223">
        <f>SUM(C35:J35)</f>
        <v>17263820.3343601</v>
      </c>
      <c r="L35" s="209">
        <f>K35/12</f>
        <v>1438651.6945300084</v>
      </c>
      <c r="M35" s="209"/>
      <c r="N35" s="210"/>
      <c r="O35" s="206">
        <f>K35-M35</f>
        <v>17263820.3343601</v>
      </c>
      <c r="P35" s="211"/>
      <c r="Q35" s="206"/>
      <c r="R35" s="224"/>
      <c r="S35" s="225"/>
    </row>
    <row r="36" spans="1:20" s="239" customFormat="1" x14ac:dyDescent="0.25">
      <c r="A36" s="226"/>
      <c r="B36" s="227"/>
      <c r="C36" s="202"/>
      <c r="D36" s="228"/>
      <c r="E36" s="229"/>
      <c r="F36" s="230"/>
      <c r="G36" s="204"/>
      <c r="H36" s="205"/>
      <c r="I36" s="118"/>
      <c r="J36" s="231"/>
      <c r="K36" s="232"/>
      <c r="L36" s="233">
        <f t="shared" ref="L36:L41" si="2">K36/12</f>
        <v>0</v>
      </c>
      <c r="M36" s="234"/>
      <c r="N36" s="231"/>
      <c r="O36" s="235">
        <f>K36-M36</f>
        <v>0</v>
      </c>
      <c r="P36" s="231"/>
      <c r="Q36" s="236"/>
      <c r="R36" s="235">
        <f>L36-N36</f>
        <v>0</v>
      </c>
      <c r="S36" s="237"/>
      <c r="T36" s="238"/>
    </row>
    <row r="37" spans="1:20" x14ac:dyDescent="0.25">
      <c r="A37" s="49" t="s">
        <v>54</v>
      </c>
      <c r="B37" s="200">
        <v>1053</v>
      </c>
      <c r="C37" s="240"/>
      <c r="D37" s="241"/>
      <c r="E37" s="242">
        <f>E27/B39*B37</f>
        <v>255946.68826866784</v>
      </c>
      <c r="F37" s="243"/>
      <c r="G37" s="204"/>
      <c r="H37" s="205"/>
      <c r="I37" s="118"/>
      <c r="J37" s="206">
        <f>J23/B42*B37</f>
        <v>3961897.8515108442</v>
      </c>
      <c r="K37" s="207">
        <f>(SUM(C37:J37)+'[1]Bérek 2019'!AN70)+('[1]Kiadás részletezés 2019'!AN192)-E25+(L27/6)</f>
        <v>8239773.5014461791</v>
      </c>
      <c r="L37" s="244">
        <f>K37/12</f>
        <v>686647.79178718163</v>
      </c>
      <c r="M37" s="245">
        <v>5468811</v>
      </c>
      <c r="N37" s="246">
        <v>4563870</v>
      </c>
      <c r="O37" s="247">
        <v>6632846</v>
      </c>
      <c r="P37" s="247">
        <v>5874491</v>
      </c>
      <c r="Q37" s="248">
        <v>7250375</v>
      </c>
      <c r="R37" s="211">
        <v>7381374</v>
      </c>
      <c r="S37" s="249">
        <f t="shared" ref="S37:S42" si="3">K37-R37</f>
        <v>858399.50144617911</v>
      </c>
    </row>
    <row r="38" spans="1:20" x14ac:dyDescent="0.25">
      <c r="A38" s="49" t="s">
        <v>55</v>
      </c>
      <c r="B38" s="200">
        <v>313</v>
      </c>
      <c r="C38" s="229"/>
      <c r="D38" s="230"/>
      <c r="E38" s="242">
        <f>E27/B39*B38</f>
        <v>76079.120064665753</v>
      </c>
      <c r="F38" s="243"/>
      <c r="G38" s="204"/>
      <c r="H38" s="205"/>
      <c r="I38" s="118"/>
      <c r="J38" s="206">
        <f>J23/B42*B38</f>
        <v>1177658.1457957209</v>
      </c>
      <c r="K38" s="207">
        <f>SUM(C38:J38)+'[1]Kiadás részletezés 2019'!AM192+(L27/6)</f>
        <v>1528125.9325270534</v>
      </c>
      <c r="L38" s="244">
        <f>K38/12</f>
        <v>127343.82771058778</v>
      </c>
      <c r="M38" s="209">
        <v>1540855</v>
      </c>
      <c r="N38" s="210">
        <v>937722</v>
      </c>
      <c r="O38" s="250">
        <v>1162626</v>
      </c>
      <c r="P38" s="251">
        <v>1282980</v>
      </c>
      <c r="Q38" s="248">
        <v>1443886</v>
      </c>
      <c r="R38" s="211">
        <v>1563344</v>
      </c>
      <c r="S38" s="211">
        <f t="shared" si="3"/>
        <v>-35218.067472946597</v>
      </c>
    </row>
    <row r="39" spans="1:20" ht="15.75" hidden="1" thickBot="1" x14ac:dyDescent="0.3">
      <c r="A39" s="252" t="s">
        <v>56</v>
      </c>
      <c r="B39" s="253">
        <f>SUM(B37:B38)</f>
        <v>1366</v>
      </c>
      <c r="C39" s="254"/>
      <c r="D39" s="255"/>
      <c r="E39" s="256">
        <f>SUM(E37:E38)</f>
        <v>332025.80833333358</v>
      </c>
      <c r="F39" s="257"/>
      <c r="G39" s="204"/>
      <c r="H39" s="205"/>
      <c r="I39" s="118"/>
      <c r="J39" s="222">
        <f>SUM(J37:J38)</f>
        <v>5139555.9973065648</v>
      </c>
      <c r="K39" s="258">
        <f>SUM(C39:J39)</f>
        <v>5471581.8056398984</v>
      </c>
      <c r="L39" s="259">
        <f>K39/12</f>
        <v>455965.15046999155</v>
      </c>
      <c r="M39" s="244"/>
      <c r="N39" s="210"/>
      <c r="O39" s="260"/>
      <c r="P39" s="251"/>
      <c r="Q39" s="261"/>
      <c r="R39" s="251"/>
      <c r="S39" s="211">
        <f t="shared" si="3"/>
        <v>5471581.8056398984</v>
      </c>
    </row>
    <row r="40" spans="1:20" hidden="1" x14ac:dyDescent="0.25">
      <c r="A40" s="262"/>
      <c r="B40" s="263"/>
      <c r="C40" s="254"/>
      <c r="D40" s="255"/>
      <c r="E40" s="264">
        <f>SUM(E37:F38)</f>
        <v>332025.80833333358</v>
      </c>
      <c r="F40" s="265"/>
      <c r="G40" s="204"/>
      <c r="H40" s="205"/>
      <c r="I40" s="118"/>
      <c r="J40" s="231"/>
      <c r="K40" s="266"/>
      <c r="L40" s="259">
        <f t="shared" si="2"/>
        <v>0</v>
      </c>
      <c r="M40" s="209"/>
      <c r="N40" s="210"/>
      <c r="O40" s="267">
        <f>K40-M40</f>
        <v>0</v>
      </c>
      <c r="P40" s="211"/>
      <c r="Q40" s="268"/>
      <c r="R40" s="211">
        <f>L40-N40</f>
        <v>0</v>
      </c>
      <c r="S40" s="211">
        <f t="shared" si="3"/>
        <v>0</v>
      </c>
    </row>
    <row r="41" spans="1:20" hidden="1" x14ac:dyDescent="0.25">
      <c r="A41" s="269"/>
      <c r="B41" s="270"/>
      <c r="C41" s="254"/>
      <c r="D41" s="255"/>
      <c r="E41" s="271"/>
      <c r="F41" s="272"/>
      <c r="G41" s="204"/>
      <c r="H41" s="205"/>
      <c r="I41" s="118"/>
      <c r="J41" s="273"/>
      <c r="K41" s="274">
        <f>SUM(G41)</f>
        <v>0</v>
      </c>
      <c r="L41" s="259">
        <f t="shared" si="2"/>
        <v>0</v>
      </c>
      <c r="M41" s="209"/>
      <c r="N41" s="210"/>
      <c r="O41" s="206">
        <f>K41-M41</f>
        <v>0</v>
      </c>
      <c r="P41" s="211"/>
      <c r="Q41" s="210"/>
      <c r="R41" s="211">
        <f>L41-N41</f>
        <v>0</v>
      </c>
      <c r="S41" s="211">
        <f t="shared" si="3"/>
        <v>0</v>
      </c>
    </row>
    <row r="42" spans="1:20" s="103" customFormat="1" ht="12.75" x14ac:dyDescent="0.2">
      <c r="A42" s="275" t="s">
        <v>57</v>
      </c>
      <c r="B42" s="276">
        <f>SUM(B35+B39)</f>
        <v>3412</v>
      </c>
      <c r="C42" s="264">
        <f>SUM(C31:D34)</f>
        <v>9565773.7966666669</v>
      </c>
      <c r="D42" s="265"/>
      <c r="E42" s="277"/>
      <c r="F42" s="272"/>
      <c r="G42" s="278"/>
      <c r="H42" s="205"/>
      <c r="I42" s="118"/>
      <c r="J42" s="279">
        <f>SUM(J39,J35)</f>
        <v>12837602.535</v>
      </c>
      <c r="K42" s="280">
        <f>SUM(K31,K32,K33,K34,K37,K38)</f>
        <v>28196606.910000004</v>
      </c>
      <c r="L42" s="281">
        <f>K42/12</f>
        <v>2349717.2425000002</v>
      </c>
      <c r="M42" s="282">
        <v>15224109</v>
      </c>
      <c r="N42" s="283">
        <f>SUM(N31:N38)</f>
        <v>14657161</v>
      </c>
      <c r="O42" s="284">
        <f>SUM(O31,O32,O33,O34,O37,O38)</f>
        <v>19934997</v>
      </c>
      <c r="P42" s="283">
        <f>SUM(P31:P38)</f>
        <v>21319244</v>
      </c>
      <c r="Q42" s="285">
        <f>SUM(Q31:Q34,Q37:Q38)</f>
        <v>23915728</v>
      </c>
      <c r="R42" s="283">
        <v>25797856</v>
      </c>
      <c r="S42" s="283">
        <f t="shared" si="3"/>
        <v>2398750.9100000039</v>
      </c>
    </row>
    <row r="43" spans="1:20" ht="15.75" thickBot="1" x14ac:dyDescent="0.3">
      <c r="A43" s="286" t="s">
        <v>10</v>
      </c>
      <c r="B43" s="287"/>
      <c r="C43" s="288"/>
      <c r="D43" s="289"/>
      <c r="E43" s="290"/>
      <c r="F43" s="291"/>
      <c r="G43" s="292">
        <f>SUM(G27)</f>
        <v>4689999.8650000002</v>
      </c>
      <c r="H43" s="286"/>
      <c r="I43" s="286"/>
      <c r="J43" s="293"/>
      <c r="K43" s="294"/>
      <c r="L43" s="295">
        <f>G43/12</f>
        <v>390833.32208333333</v>
      </c>
      <c r="M43" s="296"/>
      <c r="N43" s="297"/>
      <c r="O43" s="297"/>
      <c r="P43" s="297"/>
      <c r="Q43" s="297"/>
      <c r="R43" s="297"/>
      <c r="S43" s="286"/>
    </row>
    <row r="44" spans="1:20" x14ac:dyDescent="0.25">
      <c r="K44" s="225"/>
    </row>
    <row r="45" spans="1:20" x14ac:dyDescent="0.25">
      <c r="K45" s="225"/>
    </row>
    <row r="46" spans="1:20" x14ac:dyDescent="0.25">
      <c r="B46" s="1" t="s">
        <v>58</v>
      </c>
      <c r="C46" s="1"/>
      <c r="G46" s="1" t="s">
        <v>58</v>
      </c>
      <c r="H46" s="1"/>
      <c r="L46" s="25" t="s">
        <v>58</v>
      </c>
      <c r="M46" s="25"/>
    </row>
    <row r="47" spans="1:20" x14ac:dyDescent="0.25">
      <c r="B47" s="200" t="s">
        <v>59</v>
      </c>
      <c r="C47" s="200" t="s">
        <v>60</v>
      </c>
      <c r="D47" s="200" t="s">
        <v>61</v>
      </c>
      <c r="G47" s="200" t="s">
        <v>62</v>
      </c>
      <c r="H47" s="200" t="s">
        <v>63</v>
      </c>
      <c r="I47" s="200" t="s">
        <v>61</v>
      </c>
      <c r="L47" s="298" t="s">
        <v>64</v>
      </c>
      <c r="M47" s="298" t="s">
        <v>65</v>
      </c>
      <c r="N47" s="200" t="s">
        <v>61</v>
      </c>
      <c r="R47" s="6"/>
    </row>
    <row r="48" spans="1:20" x14ac:dyDescent="0.25">
      <c r="A48" s="49" t="s">
        <v>49</v>
      </c>
      <c r="B48" s="200">
        <v>462</v>
      </c>
      <c r="C48" s="200">
        <v>453</v>
      </c>
      <c r="D48" s="200">
        <f>C48-B48</f>
        <v>-9</v>
      </c>
      <c r="F48" s="49" t="s">
        <v>49</v>
      </c>
      <c r="G48" s="200">
        <v>453</v>
      </c>
      <c r="H48" s="200">
        <v>451</v>
      </c>
      <c r="I48" s="200">
        <f>H48-G48</f>
        <v>-2</v>
      </c>
      <c r="K48" s="49" t="s">
        <v>49</v>
      </c>
      <c r="L48" s="298">
        <v>451</v>
      </c>
      <c r="M48" s="298">
        <v>443</v>
      </c>
      <c r="N48" s="200">
        <f>M48-L48</f>
        <v>-8</v>
      </c>
      <c r="R48" s="299"/>
      <c r="S48" s="225"/>
      <c r="T48" s="225"/>
    </row>
    <row r="49" spans="1:20" x14ac:dyDescent="0.25">
      <c r="A49" s="49" t="s">
        <v>50</v>
      </c>
      <c r="B49" s="200">
        <v>319</v>
      </c>
      <c r="C49" s="200">
        <v>328</v>
      </c>
      <c r="D49" s="200">
        <f t="shared" ref="D49:D56" si="4">C49-B49</f>
        <v>9</v>
      </c>
      <c r="F49" s="49" t="s">
        <v>50</v>
      </c>
      <c r="G49" s="200">
        <v>328</v>
      </c>
      <c r="H49" s="200">
        <v>323</v>
      </c>
      <c r="I49" s="200">
        <f t="shared" ref="I49:I56" si="5">H49-G49</f>
        <v>-5</v>
      </c>
      <c r="K49" s="49" t="s">
        <v>50</v>
      </c>
      <c r="L49" s="298">
        <v>323</v>
      </c>
      <c r="M49" s="298">
        <v>328</v>
      </c>
      <c r="N49" s="200">
        <f t="shared" ref="N49:N56" si="6">M49-L49</f>
        <v>5</v>
      </c>
      <c r="R49" s="299"/>
      <c r="S49" s="225"/>
      <c r="T49" s="225"/>
    </row>
    <row r="50" spans="1:20" x14ac:dyDescent="0.25">
      <c r="A50" s="49" t="s">
        <v>51</v>
      </c>
      <c r="B50" s="200">
        <v>634</v>
      </c>
      <c r="C50" s="200">
        <v>623</v>
      </c>
      <c r="D50" s="200">
        <f t="shared" si="4"/>
        <v>-11</v>
      </c>
      <c r="F50" s="49" t="s">
        <v>51</v>
      </c>
      <c r="G50" s="200">
        <v>623</v>
      </c>
      <c r="H50" s="200">
        <v>619</v>
      </c>
      <c r="I50" s="200">
        <f t="shared" si="5"/>
        <v>-4</v>
      </c>
      <c r="K50" s="49" t="s">
        <v>51</v>
      </c>
      <c r="L50" s="298">
        <v>619</v>
      </c>
      <c r="M50" s="298">
        <v>601</v>
      </c>
      <c r="N50" s="200">
        <f t="shared" si="6"/>
        <v>-18</v>
      </c>
      <c r="R50" s="299"/>
      <c r="S50" s="225"/>
      <c r="T50" s="225"/>
    </row>
    <row r="51" spans="1:20" x14ac:dyDescent="0.25">
      <c r="A51" s="49" t="s">
        <v>52</v>
      </c>
      <c r="B51" s="200">
        <v>681</v>
      </c>
      <c r="C51" s="200">
        <v>650</v>
      </c>
      <c r="D51" s="200">
        <f t="shared" si="4"/>
        <v>-31</v>
      </c>
      <c r="F51" s="49" t="s">
        <v>52</v>
      </c>
      <c r="G51" s="200">
        <v>650</v>
      </c>
      <c r="H51" s="200">
        <v>654</v>
      </c>
      <c r="I51" s="200">
        <f t="shared" si="5"/>
        <v>4</v>
      </c>
      <c r="K51" s="49" t="s">
        <v>52</v>
      </c>
      <c r="L51" s="298">
        <v>654</v>
      </c>
      <c r="M51" s="298">
        <v>658</v>
      </c>
      <c r="N51" s="200">
        <f t="shared" si="6"/>
        <v>4</v>
      </c>
      <c r="R51" s="299"/>
      <c r="S51" s="225"/>
      <c r="T51" s="225"/>
    </row>
    <row r="52" spans="1:20" x14ac:dyDescent="0.25">
      <c r="A52" s="49"/>
      <c r="B52" s="49">
        <f>SUM(B48:B51)</f>
        <v>2096</v>
      </c>
      <c r="C52" s="49">
        <f>SUM(C48:C51)</f>
        <v>2054</v>
      </c>
      <c r="D52" s="200">
        <f t="shared" si="4"/>
        <v>-42</v>
      </c>
      <c r="F52" s="49"/>
      <c r="G52" s="49">
        <f>SUM(G48:G51)</f>
        <v>2054</v>
      </c>
      <c r="H52" s="49">
        <f>SUM(H48:H51)</f>
        <v>2047</v>
      </c>
      <c r="I52" s="200">
        <f t="shared" si="5"/>
        <v>-7</v>
      </c>
      <c r="K52" s="49"/>
      <c r="L52" s="216">
        <f>SUM(L48:L51)</f>
        <v>2047</v>
      </c>
      <c r="M52" s="216">
        <f>SUM(M48:M51)</f>
        <v>2030</v>
      </c>
      <c r="N52" s="200">
        <f t="shared" si="6"/>
        <v>-17</v>
      </c>
      <c r="R52" s="299"/>
      <c r="T52" s="225"/>
    </row>
    <row r="53" spans="1:20" x14ac:dyDescent="0.25">
      <c r="A53" s="49" t="s">
        <v>54</v>
      </c>
      <c r="B53" s="200">
        <v>1118</v>
      </c>
      <c r="C53" s="200">
        <v>1110</v>
      </c>
      <c r="D53" s="200">
        <f t="shared" si="4"/>
        <v>-8</v>
      </c>
      <c r="F53" s="49" t="s">
        <v>54</v>
      </c>
      <c r="G53" s="200">
        <v>1110</v>
      </c>
      <c r="H53" s="200">
        <v>1097</v>
      </c>
      <c r="I53" s="200">
        <f t="shared" si="5"/>
        <v>-13</v>
      </c>
      <c r="K53" s="49" t="s">
        <v>54</v>
      </c>
      <c r="L53" s="298">
        <v>1097</v>
      </c>
      <c r="M53" s="298">
        <v>1082</v>
      </c>
      <c r="N53" s="200">
        <f t="shared" si="6"/>
        <v>-15</v>
      </c>
      <c r="R53" s="299"/>
      <c r="S53" s="225"/>
      <c r="T53" s="225"/>
    </row>
    <row r="54" spans="1:20" x14ac:dyDescent="0.25">
      <c r="A54" s="49" t="s">
        <v>55</v>
      </c>
      <c r="B54" s="200">
        <v>315</v>
      </c>
      <c r="C54" s="200">
        <v>314</v>
      </c>
      <c r="D54" s="200">
        <f t="shared" si="4"/>
        <v>-1</v>
      </c>
      <c r="F54" s="49" t="s">
        <v>55</v>
      </c>
      <c r="G54" s="200">
        <v>314</v>
      </c>
      <c r="H54" s="200">
        <v>312</v>
      </c>
      <c r="I54" s="200">
        <f t="shared" si="5"/>
        <v>-2</v>
      </c>
      <c r="K54" s="49" t="s">
        <v>55</v>
      </c>
      <c r="L54" s="298">
        <v>312</v>
      </c>
      <c r="M54" s="298">
        <v>316</v>
      </c>
      <c r="N54" s="200">
        <f t="shared" si="6"/>
        <v>4</v>
      </c>
      <c r="R54" s="299"/>
      <c r="S54" s="225"/>
      <c r="T54" s="225"/>
    </row>
    <row r="55" spans="1:20" x14ac:dyDescent="0.25">
      <c r="A55" s="49"/>
      <c r="B55" s="49">
        <f>SUM(B53:B54)</f>
        <v>1433</v>
      </c>
      <c r="C55" s="49">
        <f>SUM(C53:C54)</f>
        <v>1424</v>
      </c>
      <c r="D55" s="200">
        <f t="shared" si="4"/>
        <v>-9</v>
      </c>
      <c r="F55" s="49"/>
      <c r="G55" s="49">
        <f>SUM(G53:G54)</f>
        <v>1424</v>
      </c>
      <c r="H55" s="49">
        <f>SUM(H53:H54)</f>
        <v>1409</v>
      </c>
      <c r="I55" s="200">
        <f t="shared" si="5"/>
        <v>-15</v>
      </c>
      <c r="K55" s="49"/>
      <c r="L55" s="216">
        <f>SUM(L53:L54)</f>
        <v>1409</v>
      </c>
      <c r="M55" s="216">
        <f>SUM(M53:M54)</f>
        <v>1398</v>
      </c>
      <c r="N55" s="200">
        <f t="shared" si="6"/>
        <v>-11</v>
      </c>
      <c r="R55" s="299"/>
      <c r="T55" s="225"/>
    </row>
    <row r="56" spans="1:20" x14ac:dyDescent="0.25">
      <c r="A56" s="49" t="s">
        <v>66</v>
      </c>
      <c r="B56" s="200">
        <f>SUM(B55,B52)</f>
        <v>3529</v>
      </c>
      <c r="C56" s="200">
        <f>SUM(C55,C52)</f>
        <v>3478</v>
      </c>
      <c r="D56" s="200">
        <f t="shared" si="4"/>
        <v>-51</v>
      </c>
      <c r="F56" s="49" t="s">
        <v>66</v>
      </c>
      <c r="G56" s="200">
        <f>SUM(G55,G52)</f>
        <v>3478</v>
      </c>
      <c r="H56" s="200">
        <f>SUM(H55,H52)</f>
        <v>3456</v>
      </c>
      <c r="I56" s="200">
        <f t="shared" si="5"/>
        <v>-22</v>
      </c>
      <c r="K56" s="49" t="s">
        <v>66</v>
      </c>
      <c r="L56" s="298">
        <f>SUM(L55,L52)</f>
        <v>3456</v>
      </c>
      <c r="M56" s="298">
        <f>SUM(M55,M52)</f>
        <v>3428</v>
      </c>
      <c r="N56" s="200">
        <f t="shared" si="6"/>
        <v>-28</v>
      </c>
      <c r="R56" s="299"/>
      <c r="S56" s="225"/>
      <c r="T56" s="225"/>
    </row>
    <row r="60" spans="1:20" x14ac:dyDescent="0.25">
      <c r="B60" s="1" t="s">
        <v>58</v>
      </c>
      <c r="C60" s="1"/>
      <c r="G60" s="1" t="s">
        <v>58</v>
      </c>
      <c r="H60" s="1"/>
      <c r="L60" s="1" t="s">
        <v>58</v>
      </c>
      <c r="M60" s="1"/>
      <c r="P60" s="300" t="s">
        <v>67</v>
      </c>
      <c r="Q60" s="301"/>
      <c r="R60" s="282">
        <f>SUM(M18)</f>
        <v>89484206.31812501</v>
      </c>
    </row>
    <row r="61" spans="1:20" x14ac:dyDescent="0.25">
      <c r="B61" s="200" t="s">
        <v>65</v>
      </c>
      <c r="C61" s="200" t="s">
        <v>68</v>
      </c>
      <c r="D61" s="200" t="s">
        <v>61</v>
      </c>
      <c r="G61" s="200" t="s">
        <v>68</v>
      </c>
      <c r="H61" s="200" t="s">
        <v>69</v>
      </c>
      <c r="I61" s="200" t="s">
        <v>61</v>
      </c>
      <c r="L61" s="200" t="s">
        <v>69</v>
      </c>
      <c r="M61" s="200" t="s">
        <v>70</v>
      </c>
      <c r="N61" s="200" t="s">
        <v>61</v>
      </c>
      <c r="P61" s="300" t="s">
        <v>71</v>
      </c>
      <c r="Q61" s="301"/>
      <c r="R61" s="282">
        <f>SUM(M24)</f>
        <v>56597600</v>
      </c>
    </row>
    <row r="62" spans="1:20" x14ac:dyDescent="0.25">
      <c r="A62" s="49" t="s">
        <v>49</v>
      </c>
      <c r="B62" s="200">
        <v>443</v>
      </c>
      <c r="C62" s="200">
        <v>440</v>
      </c>
      <c r="D62" s="200">
        <f>C62-B62</f>
        <v>-3</v>
      </c>
      <c r="F62" s="49" t="s">
        <v>49</v>
      </c>
      <c r="G62" s="200">
        <v>440</v>
      </c>
      <c r="H62" s="200">
        <v>429</v>
      </c>
      <c r="I62" s="200">
        <f>H62-G62</f>
        <v>-11</v>
      </c>
      <c r="K62" s="49" t="s">
        <v>49</v>
      </c>
      <c r="L62" s="200">
        <v>429</v>
      </c>
      <c r="M62" s="200">
        <v>425</v>
      </c>
      <c r="N62" s="200">
        <f>M62-L62</f>
        <v>-4</v>
      </c>
      <c r="P62" s="300" t="s">
        <v>33</v>
      </c>
      <c r="Q62" s="301"/>
      <c r="R62" s="282">
        <f>SUM(M27)</f>
        <v>28196606.91</v>
      </c>
    </row>
    <row r="63" spans="1:20" x14ac:dyDescent="0.25">
      <c r="A63" s="49" t="s">
        <v>50</v>
      </c>
      <c r="B63" s="200">
        <v>328</v>
      </c>
      <c r="C63" s="200">
        <v>328</v>
      </c>
      <c r="D63" s="200">
        <f t="shared" ref="D63:D70" si="7">C63-B63</f>
        <v>0</v>
      </c>
      <c r="F63" s="49" t="s">
        <v>50</v>
      </c>
      <c r="G63" s="200">
        <v>328</v>
      </c>
      <c r="H63" s="200">
        <v>334</v>
      </c>
      <c r="I63" s="200">
        <f t="shared" ref="I63:I70" si="8">H63-G63</f>
        <v>6</v>
      </c>
      <c r="K63" s="49" t="s">
        <v>50</v>
      </c>
      <c r="L63" s="200">
        <v>334</v>
      </c>
      <c r="M63" s="200">
        <v>331</v>
      </c>
      <c r="N63" s="200">
        <f t="shared" ref="N63:N70" si="9">M63-L63</f>
        <v>-3</v>
      </c>
      <c r="Q63" s="2"/>
      <c r="R63" s="2"/>
    </row>
    <row r="64" spans="1:20" x14ac:dyDescent="0.25">
      <c r="A64" s="49" t="s">
        <v>51</v>
      </c>
      <c r="B64" s="200">
        <v>601</v>
      </c>
      <c r="C64" s="200">
        <v>600</v>
      </c>
      <c r="D64" s="200">
        <f t="shared" si="7"/>
        <v>-1</v>
      </c>
      <c r="F64" s="49" t="s">
        <v>51</v>
      </c>
      <c r="G64" s="200">
        <v>600</v>
      </c>
      <c r="H64" s="200">
        <v>619</v>
      </c>
      <c r="I64" s="200">
        <f t="shared" si="8"/>
        <v>19</v>
      </c>
      <c r="K64" s="49" t="s">
        <v>51</v>
      </c>
      <c r="L64" s="200">
        <v>619</v>
      </c>
      <c r="M64" s="200">
        <v>627</v>
      </c>
      <c r="N64" s="200">
        <f t="shared" si="9"/>
        <v>8</v>
      </c>
      <c r="Q64" s="2"/>
      <c r="R64" s="5"/>
    </row>
    <row r="65" spans="1:18" x14ac:dyDescent="0.25">
      <c r="A65" s="49" t="s">
        <v>52</v>
      </c>
      <c r="B65" s="200">
        <v>658</v>
      </c>
      <c r="C65" s="200">
        <v>673</v>
      </c>
      <c r="D65" s="200">
        <f t="shared" si="7"/>
        <v>15</v>
      </c>
      <c r="F65" s="49" t="s">
        <v>52</v>
      </c>
      <c r="G65" s="200">
        <v>673</v>
      </c>
      <c r="H65" s="200">
        <v>665</v>
      </c>
      <c r="I65" s="200">
        <f t="shared" si="8"/>
        <v>-8</v>
      </c>
      <c r="K65" s="49" t="s">
        <v>52</v>
      </c>
      <c r="L65" s="200">
        <v>665</v>
      </c>
      <c r="M65" s="200">
        <v>663</v>
      </c>
      <c r="N65" s="200">
        <f t="shared" si="9"/>
        <v>-2</v>
      </c>
      <c r="P65" s="300" t="s">
        <v>40</v>
      </c>
      <c r="Q65" s="301"/>
      <c r="R65" s="301"/>
    </row>
    <row r="66" spans="1:18" x14ac:dyDescent="0.25">
      <c r="A66" s="49"/>
      <c r="B66" s="49">
        <f>SUM(B62:B65)</f>
        <v>2030</v>
      </c>
      <c r="C66" s="49">
        <f>SUM(C62:C65)</f>
        <v>2041</v>
      </c>
      <c r="D66" s="200">
        <f t="shared" si="7"/>
        <v>11</v>
      </c>
      <c r="F66" s="49"/>
      <c r="G66" s="49">
        <f>SUM(G62:G65)</f>
        <v>2041</v>
      </c>
      <c r="H66" s="49">
        <f>SUM(H62:H65)</f>
        <v>2047</v>
      </c>
      <c r="I66" s="200">
        <f t="shared" si="8"/>
        <v>6</v>
      </c>
      <c r="K66" s="49"/>
      <c r="L66" s="49">
        <f>SUM(L62:L65)</f>
        <v>2047</v>
      </c>
      <c r="M66" s="49">
        <f>SUM(M62:M65)</f>
        <v>2046</v>
      </c>
      <c r="N66" s="200">
        <f t="shared" si="9"/>
        <v>-1</v>
      </c>
      <c r="P66" s="300" t="s">
        <v>49</v>
      </c>
      <c r="Q66" s="301"/>
      <c r="R66" s="282">
        <f>SUM(K31)</f>
        <v>3595670.6031784178</v>
      </c>
    </row>
    <row r="67" spans="1:18" x14ac:dyDescent="0.25">
      <c r="A67" s="49" t="s">
        <v>54</v>
      </c>
      <c r="B67" s="200">
        <v>1082</v>
      </c>
      <c r="C67" s="200">
        <v>1072</v>
      </c>
      <c r="D67" s="200">
        <f t="shared" si="7"/>
        <v>-10</v>
      </c>
      <c r="F67" s="49" t="s">
        <v>54</v>
      </c>
      <c r="G67" s="200">
        <v>1072</v>
      </c>
      <c r="H67" s="200">
        <v>1060</v>
      </c>
      <c r="I67" s="200">
        <f t="shared" si="8"/>
        <v>-12</v>
      </c>
      <c r="K67" s="49" t="s">
        <v>54</v>
      </c>
      <c r="L67" s="200">
        <v>1060</v>
      </c>
      <c r="M67" s="200">
        <v>1053</v>
      </c>
      <c r="N67" s="200">
        <f t="shared" si="9"/>
        <v>-7</v>
      </c>
      <c r="P67" s="300" t="s">
        <v>50</v>
      </c>
      <c r="Q67" s="301"/>
      <c r="R67" s="282">
        <f>SUM(K32)</f>
        <v>2802513.6572205247</v>
      </c>
    </row>
    <row r="68" spans="1:18" x14ac:dyDescent="0.25">
      <c r="A68" s="49" t="s">
        <v>55</v>
      </c>
      <c r="B68" s="200">
        <v>316</v>
      </c>
      <c r="C68" s="200">
        <v>308</v>
      </c>
      <c r="D68" s="200">
        <f t="shared" si="7"/>
        <v>-8</v>
      </c>
      <c r="F68" s="49" t="s">
        <v>55</v>
      </c>
      <c r="G68" s="200">
        <v>308</v>
      </c>
      <c r="H68" s="200">
        <v>306</v>
      </c>
      <c r="I68" s="200">
        <f t="shared" si="8"/>
        <v>-2</v>
      </c>
      <c r="K68" s="49" t="s">
        <v>55</v>
      </c>
      <c r="L68" s="200">
        <v>306</v>
      </c>
      <c r="M68" s="200">
        <v>313</v>
      </c>
      <c r="N68" s="200">
        <f t="shared" si="9"/>
        <v>7</v>
      </c>
      <c r="P68" s="302" t="s">
        <v>51</v>
      </c>
      <c r="Q68" s="303"/>
      <c r="R68" s="282">
        <f>SUM(K33)</f>
        <v>5603291.7280028267</v>
      </c>
    </row>
    <row r="69" spans="1:18" x14ac:dyDescent="0.25">
      <c r="A69" s="49"/>
      <c r="B69" s="49">
        <f>SUM(B67:B68)</f>
        <v>1398</v>
      </c>
      <c r="C69" s="49">
        <f>SUM(C67:C68)</f>
        <v>1380</v>
      </c>
      <c r="D69" s="200">
        <f t="shared" si="7"/>
        <v>-18</v>
      </c>
      <c r="F69" s="49"/>
      <c r="G69" s="49">
        <f>SUM(G67:G68)</f>
        <v>1380</v>
      </c>
      <c r="H69" s="49">
        <f>SUM(H67:H68)</f>
        <v>1366</v>
      </c>
      <c r="I69" s="200">
        <f t="shared" si="8"/>
        <v>-14</v>
      </c>
      <c r="K69" s="49"/>
      <c r="L69" s="49">
        <f>SUM(L67:L68)</f>
        <v>1366</v>
      </c>
      <c r="M69" s="49">
        <f>SUM(M67:M68)</f>
        <v>1366</v>
      </c>
      <c r="N69" s="200">
        <f t="shared" si="9"/>
        <v>0</v>
      </c>
      <c r="P69" s="300" t="s">
        <v>52</v>
      </c>
      <c r="Q69" s="301"/>
      <c r="R69" s="282">
        <f>SUM(K34)</f>
        <v>6427231.4876249991</v>
      </c>
    </row>
    <row r="70" spans="1:18" x14ac:dyDescent="0.25">
      <c r="A70" s="49" t="s">
        <v>66</v>
      </c>
      <c r="B70" s="200">
        <f>SUM(B69,B66)</f>
        <v>3428</v>
      </c>
      <c r="C70" s="200">
        <f>SUM(C69,C66)</f>
        <v>3421</v>
      </c>
      <c r="D70" s="200">
        <f t="shared" si="7"/>
        <v>-7</v>
      </c>
      <c r="F70" s="49" t="s">
        <v>66</v>
      </c>
      <c r="G70" s="200">
        <f>SUM(G69,G66)</f>
        <v>3421</v>
      </c>
      <c r="H70" s="200">
        <f>SUM(H69,H66)</f>
        <v>3413</v>
      </c>
      <c r="I70" s="200">
        <f t="shared" si="8"/>
        <v>-8</v>
      </c>
      <c r="K70" s="49" t="s">
        <v>66</v>
      </c>
      <c r="L70" s="200">
        <f>SUM(L69,L66)</f>
        <v>3413</v>
      </c>
      <c r="M70" s="200">
        <f>SUM(M69,M66)</f>
        <v>3412</v>
      </c>
      <c r="N70" s="200">
        <f t="shared" si="9"/>
        <v>-1</v>
      </c>
      <c r="P70" s="300" t="s">
        <v>54</v>
      </c>
      <c r="Q70" s="301"/>
      <c r="R70" s="282">
        <f>SUM(K37)</f>
        <v>8239773.5014461791</v>
      </c>
    </row>
    <row r="71" spans="1:18" x14ac:dyDescent="0.25">
      <c r="N71" s="225"/>
      <c r="P71" s="300" t="s">
        <v>55</v>
      </c>
      <c r="Q71" s="301"/>
      <c r="R71" s="282">
        <f>SUM(K38)</f>
        <v>1528125.9325270534</v>
      </c>
    </row>
    <row r="72" spans="1:18" x14ac:dyDescent="0.25">
      <c r="N72" s="225"/>
      <c r="P72" s="304" t="s">
        <v>12</v>
      </c>
      <c r="Q72" s="305"/>
      <c r="R72" s="282">
        <f>SUM(R66:R71)</f>
        <v>28196606.910000004</v>
      </c>
    </row>
    <row r="75" spans="1:18" x14ac:dyDescent="0.25">
      <c r="A75" t="s">
        <v>74</v>
      </c>
      <c r="H75" t="s">
        <v>72</v>
      </c>
    </row>
    <row r="76" spans="1:18" x14ac:dyDescent="0.25">
      <c r="H76" s="6" t="s">
        <v>73</v>
      </c>
    </row>
  </sheetData>
  <mergeCells count="67">
    <mergeCell ref="P68:Q68"/>
    <mergeCell ref="P72:Q72"/>
    <mergeCell ref="B46:C46"/>
    <mergeCell ref="G46:H46"/>
    <mergeCell ref="L46:M46"/>
    <mergeCell ref="B60:C60"/>
    <mergeCell ref="G60:H60"/>
    <mergeCell ref="L60:M60"/>
    <mergeCell ref="A40:B40"/>
    <mergeCell ref="E40:F42"/>
    <mergeCell ref="J40:K40"/>
    <mergeCell ref="C42:D42"/>
    <mergeCell ref="C43:D43"/>
    <mergeCell ref="E43:F43"/>
    <mergeCell ref="J36:K36"/>
    <mergeCell ref="L36:M36"/>
    <mergeCell ref="N36:O36"/>
    <mergeCell ref="P36:R36"/>
    <mergeCell ref="E37:F37"/>
    <mergeCell ref="E38:F38"/>
    <mergeCell ref="O38:O39"/>
    <mergeCell ref="E39:F39"/>
    <mergeCell ref="H30:I42"/>
    <mergeCell ref="C31:D31"/>
    <mergeCell ref="E31:F36"/>
    <mergeCell ref="C32:D32"/>
    <mergeCell ref="C33:D33"/>
    <mergeCell ref="C34:D34"/>
    <mergeCell ref="C35:D35"/>
    <mergeCell ref="C36:D38"/>
    <mergeCell ref="B24:D24"/>
    <mergeCell ref="E24:F24"/>
    <mergeCell ref="B27:D27"/>
    <mergeCell ref="E27:F27"/>
    <mergeCell ref="C30:D30"/>
    <mergeCell ref="E30:F30"/>
    <mergeCell ref="B15:C15"/>
    <mergeCell ref="B16:C16"/>
    <mergeCell ref="B18:C18"/>
    <mergeCell ref="B20:C20"/>
    <mergeCell ref="H20:I27"/>
    <mergeCell ref="J20:J21"/>
    <mergeCell ref="B21:D21"/>
    <mergeCell ref="E21:F21"/>
    <mergeCell ref="B23:D23"/>
    <mergeCell ref="E23:F23"/>
    <mergeCell ref="B11:C11"/>
    <mergeCell ref="K11:K12"/>
    <mergeCell ref="L11:L12"/>
    <mergeCell ref="M11:M12"/>
    <mergeCell ref="B12:C12"/>
    <mergeCell ref="B13:C13"/>
    <mergeCell ref="K13:K14"/>
    <mergeCell ref="L13:L14"/>
    <mergeCell ref="M13:M14"/>
    <mergeCell ref="P8:S8"/>
    <mergeCell ref="T8:V8"/>
    <mergeCell ref="W8:Y8"/>
    <mergeCell ref="B9:C9"/>
    <mergeCell ref="B10:D10"/>
    <mergeCell ref="E10:F10"/>
    <mergeCell ref="A1:K1"/>
    <mergeCell ref="A2:K2"/>
    <mergeCell ref="A3:K3"/>
    <mergeCell ref="A5:K5"/>
    <mergeCell ref="B8:C8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2019-02-12T10:53:41Z</dcterms:modified>
</cp:coreProperties>
</file>